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\Documents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R27" i="1"/>
  <c r="R81" i="1"/>
  <c r="C81" i="1"/>
  <c r="J79" i="1"/>
  <c r="M79" i="1" s="1"/>
  <c r="H79" i="1"/>
  <c r="K79" i="1" s="1"/>
  <c r="N79" i="1" s="1"/>
  <c r="G79" i="1"/>
  <c r="I79" i="1" s="1"/>
  <c r="L79" i="1" s="1"/>
  <c r="J78" i="1"/>
  <c r="M78" i="1" s="1"/>
  <c r="H78" i="1"/>
  <c r="P78" i="1" s="1"/>
  <c r="G78" i="1"/>
  <c r="I78" i="1" s="1"/>
  <c r="L78" i="1" s="1"/>
  <c r="M71" i="1"/>
  <c r="H71" i="1"/>
  <c r="P71" i="1" s="1"/>
  <c r="G71" i="1"/>
  <c r="I71" i="1" s="1"/>
  <c r="O69" i="1"/>
  <c r="M69" i="1"/>
  <c r="H69" i="1"/>
  <c r="P69" i="1" s="1"/>
  <c r="G69" i="1"/>
  <c r="I69" i="1" s="1"/>
  <c r="O66" i="1"/>
  <c r="M66" i="1"/>
  <c r="K66" i="1"/>
  <c r="N66" i="1" s="1"/>
  <c r="Q66" i="1" s="1"/>
  <c r="R66" i="1" s="1"/>
  <c r="I66" i="1"/>
  <c r="L66" i="1" s="1"/>
  <c r="H66" i="1"/>
  <c r="P66" i="1" s="1"/>
  <c r="G66" i="1"/>
  <c r="M62" i="1"/>
  <c r="I62" i="1"/>
  <c r="L62" i="1" s="1"/>
  <c r="H62" i="1"/>
  <c r="K62" i="1" s="1"/>
  <c r="N62" i="1" s="1"/>
  <c r="G62" i="1"/>
  <c r="M59" i="1"/>
  <c r="H59" i="1"/>
  <c r="P59" i="1" s="1"/>
  <c r="G59" i="1"/>
  <c r="I59" i="1" s="1"/>
  <c r="L59" i="1" s="1"/>
  <c r="J58" i="1"/>
  <c r="H58" i="1"/>
  <c r="K58" i="1" s="1"/>
  <c r="G58" i="1"/>
  <c r="I58" i="1" s="1"/>
  <c r="L58" i="1" s="1"/>
  <c r="P57" i="1"/>
  <c r="O57" i="1"/>
  <c r="K57" i="1"/>
  <c r="J57" i="1"/>
  <c r="I57" i="1"/>
  <c r="J56" i="1"/>
  <c r="L55" i="1"/>
  <c r="J55" i="1"/>
  <c r="M55" i="1" s="1"/>
  <c r="I55" i="1"/>
  <c r="H55" i="1"/>
  <c r="K55" i="1" s="1"/>
  <c r="G55" i="1"/>
  <c r="J54" i="1"/>
  <c r="M54" i="1" s="1"/>
  <c r="I54" i="1"/>
  <c r="L54" i="1" s="1"/>
  <c r="H54" i="1"/>
  <c r="P54" i="1" s="1"/>
  <c r="G54" i="1"/>
  <c r="P53" i="1"/>
  <c r="O53" i="1"/>
  <c r="K53" i="1"/>
  <c r="I53" i="1"/>
  <c r="P52" i="1"/>
  <c r="O52" i="1"/>
  <c r="K52" i="1"/>
  <c r="I52" i="1"/>
  <c r="P51" i="1"/>
  <c r="O51" i="1"/>
  <c r="K51" i="1"/>
  <c r="I51" i="1"/>
  <c r="P50" i="1"/>
  <c r="O50" i="1"/>
  <c r="K50" i="1"/>
  <c r="I50" i="1"/>
  <c r="P49" i="1"/>
  <c r="O49" i="1"/>
  <c r="K49" i="1"/>
  <c r="I49" i="1"/>
  <c r="P48" i="1"/>
  <c r="O48" i="1"/>
  <c r="K48" i="1"/>
  <c r="I48" i="1"/>
  <c r="P47" i="1"/>
  <c r="O47" i="1"/>
  <c r="K47" i="1"/>
  <c r="I47" i="1"/>
  <c r="M46" i="1"/>
  <c r="I46" i="1"/>
  <c r="L46" i="1" s="1"/>
  <c r="H46" i="1"/>
  <c r="P46" i="1" s="1"/>
  <c r="G46" i="1"/>
  <c r="M42" i="1"/>
  <c r="H42" i="1"/>
  <c r="K42" i="1" s="1"/>
  <c r="N42" i="1" s="1"/>
  <c r="G42" i="1"/>
  <c r="I42" i="1" s="1"/>
  <c r="L42" i="1" s="1"/>
  <c r="P41" i="1"/>
  <c r="O41" i="1"/>
  <c r="K41" i="1"/>
  <c r="I41" i="1"/>
  <c r="P38" i="1"/>
  <c r="O38" i="1"/>
  <c r="M38" i="1"/>
  <c r="K38" i="1"/>
  <c r="N38" i="1" s="1"/>
  <c r="Q38" i="1" s="1"/>
  <c r="R38" i="1" s="1"/>
  <c r="H38" i="1"/>
  <c r="G38" i="1"/>
  <c r="I38" i="1" s="1"/>
  <c r="L38" i="1" s="1"/>
  <c r="O37" i="1"/>
  <c r="K37" i="1"/>
  <c r="N37" i="1" s="1"/>
  <c r="Q37" i="1" s="1"/>
  <c r="R37" i="1" s="1"/>
  <c r="J37" i="1"/>
  <c r="M37" i="1" s="1"/>
  <c r="H37" i="1"/>
  <c r="P37" i="1" s="1"/>
  <c r="G37" i="1"/>
  <c r="I37" i="1" s="1"/>
  <c r="L37" i="1" s="1"/>
  <c r="P34" i="1"/>
  <c r="O34" i="1"/>
  <c r="K34" i="1"/>
  <c r="I34" i="1"/>
  <c r="P33" i="1"/>
  <c r="O33" i="1"/>
  <c r="K33" i="1"/>
  <c r="I33" i="1"/>
  <c r="P32" i="1"/>
  <c r="O32" i="1"/>
  <c r="K32" i="1"/>
  <c r="I32" i="1"/>
  <c r="P31" i="1"/>
  <c r="O31" i="1"/>
  <c r="K31" i="1"/>
  <c r="I31" i="1"/>
  <c r="P30" i="1"/>
  <c r="O30" i="1"/>
  <c r="K30" i="1"/>
  <c r="I30" i="1"/>
  <c r="P29" i="1"/>
  <c r="O29" i="1"/>
  <c r="K29" i="1"/>
  <c r="I29" i="1"/>
  <c r="O28" i="1"/>
  <c r="M28" i="1"/>
  <c r="K28" i="1"/>
  <c r="N28" i="1" s="1"/>
  <c r="I28" i="1"/>
  <c r="L28" i="1" s="1"/>
  <c r="H28" i="1"/>
  <c r="P28" i="1" s="1"/>
  <c r="G28" i="1"/>
  <c r="J27" i="1"/>
  <c r="M27" i="1" s="1"/>
  <c r="I27" i="1"/>
  <c r="L27" i="1" s="1"/>
  <c r="H27" i="1"/>
  <c r="K27" i="1" s="1"/>
  <c r="N27" i="1" s="1"/>
  <c r="G27" i="1"/>
  <c r="P26" i="1"/>
  <c r="O26" i="1"/>
  <c r="K26" i="1"/>
  <c r="I26" i="1"/>
  <c r="P25" i="1"/>
  <c r="O25" i="1"/>
  <c r="K25" i="1"/>
  <c r="I25" i="1"/>
  <c r="M24" i="1"/>
  <c r="I24" i="1"/>
  <c r="L24" i="1" s="1"/>
  <c r="H24" i="1"/>
  <c r="P24" i="1" s="1"/>
  <c r="G24" i="1"/>
  <c r="M23" i="1"/>
  <c r="J23" i="1"/>
  <c r="I23" i="1"/>
  <c r="L23" i="1" s="1"/>
  <c r="H23" i="1"/>
  <c r="K23" i="1" s="1"/>
  <c r="N23" i="1" s="1"/>
  <c r="G23" i="1"/>
  <c r="M22" i="1"/>
  <c r="J22" i="1"/>
  <c r="I22" i="1"/>
  <c r="L22" i="1" s="1"/>
  <c r="H22" i="1"/>
  <c r="P22" i="1" s="1"/>
  <c r="G22" i="1"/>
  <c r="M21" i="1"/>
  <c r="J21" i="1"/>
  <c r="I21" i="1"/>
  <c r="L21" i="1" s="1"/>
  <c r="H21" i="1"/>
  <c r="K21" i="1" s="1"/>
  <c r="N21" i="1" s="1"/>
  <c r="G21" i="1"/>
  <c r="M20" i="1"/>
  <c r="J20" i="1"/>
  <c r="I20" i="1"/>
  <c r="L20" i="1" s="1"/>
  <c r="H20" i="1"/>
  <c r="P20" i="1" s="1"/>
  <c r="G20" i="1"/>
  <c r="M19" i="1"/>
  <c r="J19" i="1"/>
  <c r="I19" i="1"/>
  <c r="L19" i="1" s="1"/>
  <c r="H19" i="1"/>
  <c r="K19" i="1" s="1"/>
  <c r="N19" i="1" s="1"/>
  <c r="G19" i="1"/>
  <c r="M18" i="1"/>
  <c r="J18" i="1"/>
  <c r="I18" i="1"/>
  <c r="L18" i="1" s="1"/>
  <c r="H18" i="1"/>
  <c r="P18" i="1" s="1"/>
  <c r="G18" i="1"/>
  <c r="M17" i="1"/>
  <c r="J17" i="1"/>
  <c r="I17" i="1"/>
  <c r="L17" i="1" s="1"/>
  <c r="H17" i="1"/>
  <c r="K17" i="1" s="1"/>
  <c r="N17" i="1" s="1"/>
  <c r="G17" i="1"/>
  <c r="M16" i="1"/>
  <c r="J16" i="1"/>
  <c r="I16" i="1"/>
  <c r="L16" i="1" s="1"/>
  <c r="H16" i="1"/>
  <c r="P16" i="1" s="1"/>
  <c r="G16" i="1"/>
  <c r="M15" i="1"/>
  <c r="J15" i="1"/>
  <c r="I15" i="1"/>
  <c r="L15" i="1" s="1"/>
  <c r="H15" i="1"/>
  <c r="K15" i="1" s="1"/>
  <c r="N15" i="1" s="1"/>
  <c r="G15" i="1"/>
  <c r="P14" i="1"/>
  <c r="O14" i="1"/>
  <c r="K14" i="1"/>
  <c r="I14" i="1"/>
  <c r="P13" i="1"/>
  <c r="O13" i="1"/>
  <c r="K13" i="1"/>
  <c r="I13" i="1"/>
  <c r="M12" i="1"/>
  <c r="H12" i="1"/>
  <c r="P12" i="1" s="1"/>
  <c r="G12" i="1"/>
  <c r="I12" i="1" s="1"/>
  <c r="L12" i="1" s="1"/>
  <c r="J11" i="1"/>
  <c r="M11" i="1" s="1"/>
  <c r="H11" i="1"/>
  <c r="K11" i="1" s="1"/>
  <c r="N11" i="1" s="1"/>
  <c r="G11" i="1"/>
  <c r="I11" i="1" s="1"/>
  <c r="L11" i="1" s="1"/>
  <c r="J10" i="1"/>
  <c r="M10" i="1" s="1"/>
  <c r="H10" i="1"/>
  <c r="O10" i="1" s="1"/>
  <c r="G10" i="1"/>
  <c r="I10" i="1" s="1"/>
  <c r="L10" i="1" s="1"/>
  <c r="J9" i="1"/>
  <c r="M9" i="1" s="1"/>
  <c r="H9" i="1"/>
  <c r="K9" i="1" s="1"/>
  <c r="N9" i="1" s="1"/>
  <c r="G9" i="1"/>
  <c r="I9" i="1" s="1"/>
  <c r="L9" i="1" s="1"/>
  <c r="J8" i="1"/>
  <c r="M8" i="1" s="1"/>
  <c r="H8" i="1"/>
  <c r="O8" i="1" s="1"/>
  <c r="G8" i="1"/>
  <c r="I8" i="1" s="1"/>
  <c r="L8" i="1" s="1"/>
  <c r="N58" i="1" l="1"/>
  <c r="N55" i="1"/>
  <c r="Q27" i="1"/>
  <c r="L69" i="1"/>
  <c r="K69" i="1"/>
  <c r="N69" i="1" s="1"/>
  <c r="Q69" i="1" s="1"/>
  <c r="R69" i="1" s="1"/>
  <c r="Q28" i="1"/>
  <c r="L71" i="1"/>
  <c r="N71" i="1" s="1"/>
  <c r="Q71" i="1" s="1"/>
  <c r="R71" i="1" s="1"/>
  <c r="K71" i="1"/>
  <c r="P10" i="1"/>
  <c r="K24" i="1"/>
  <c r="N24" i="1" s="1"/>
  <c r="O27" i="1"/>
  <c r="K46" i="1"/>
  <c r="N46" i="1" s="1"/>
  <c r="K54" i="1"/>
  <c r="N54" i="1" s="1"/>
  <c r="O55" i="1"/>
  <c r="M58" i="1"/>
  <c r="O62" i="1"/>
  <c r="Q62" i="1" s="1"/>
  <c r="R62" i="1" s="1"/>
  <c r="P8" i="1"/>
  <c r="K12" i="1"/>
  <c r="N12" i="1" s="1"/>
  <c r="O15" i="1"/>
  <c r="K16" i="1"/>
  <c r="N16" i="1" s="1"/>
  <c r="O17" i="1"/>
  <c r="Q17" i="1" s="1"/>
  <c r="R17" i="1" s="1"/>
  <c r="K18" i="1"/>
  <c r="N18" i="1" s="1"/>
  <c r="O19" i="1"/>
  <c r="Q19" i="1" s="1"/>
  <c r="R19" i="1" s="1"/>
  <c r="K20" i="1"/>
  <c r="N20" i="1" s="1"/>
  <c r="Q20" i="1" s="1"/>
  <c r="R20" i="1" s="1"/>
  <c r="O21" i="1"/>
  <c r="Q21" i="1" s="1"/>
  <c r="R21" i="1" s="1"/>
  <c r="K22" i="1"/>
  <c r="N22" i="1" s="1"/>
  <c r="O23" i="1"/>
  <c r="Q23" i="1" s="1"/>
  <c r="R23" i="1" s="1"/>
  <c r="P27" i="1"/>
  <c r="O42" i="1"/>
  <c r="Q42" i="1" s="1"/>
  <c r="R42" i="1" s="1"/>
  <c r="P55" i="1"/>
  <c r="K59" i="1"/>
  <c r="N59" i="1" s="1"/>
  <c r="Q59" i="1" s="1"/>
  <c r="R59" i="1" s="1"/>
  <c r="P62" i="1"/>
  <c r="O71" i="1"/>
  <c r="K78" i="1"/>
  <c r="N78" i="1" s="1"/>
  <c r="O79" i="1"/>
  <c r="Q79" i="1" s="1"/>
  <c r="R79" i="1" s="1"/>
  <c r="K8" i="1"/>
  <c r="N8" i="1" s="1"/>
  <c r="Q8" i="1" s="1"/>
  <c r="R8" i="1" s="1"/>
  <c r="O9" i="1"/>
  <c r="Q9" i="1" s="1"/>
  <c r="R9" i="1" s="1"/>
  <c r="K10" i="1"/>
  <c r="N10" i="1" s="1"/>
  <c r="Q10" i="1" s="1"/>
  <c r="R10" i="1" s="1"/>
  <c r="O11" i="1"/>
  <c r="Q11" i="1" s="1"/>
  <c r="R11" i="1" s="1"/>
  <c r="P15" i="1"/>
  <c r="Q15" i="1" s="1"/>
  <c r="R15" i="1" s="1"/>
  <c r="P17" i="1"/>
  <c r="P19" i="1"/>
  <c r="P21" i="1"/>
  <c r="P23" i="1"/>
  <c r="P42" i="1"/>
  <c r="O58" i="1"/>
  <c r="P79" i="1"/>
  <c r="P9" i="1"/>
  <c r="P11" i="1"/>
  <c r="P58" i="1"/>
  <c r="O24" i="1"/>
  <c r="O46" i="1"/>
  <c r="O54" i="1"/>
  <c r="O12" i="1"/>
  <c r="O16" i="1"/>
  <c r="O18" i="1"/>
  <c r="O20" i="1"/>
  <c r="O22" i="1"/>
  <c r="O59" i="1"/>
  <c r="O78" i="1"/>
  <c r="Q18" i="1" l="1"/>
  <c r="R18" i="1" s="1"/>
  <c r="Q54" i="1"/>
  <c r="R54" i="1" s="1"/>
  <c r="Q16" i="1"/>
  <c r="R16" i="1" s="1"/>
  <c r="Q46" i="1"/>
  <c r="R46" i="1" s="1"/>
  <c r="Q78" i="1"/>
  <c r="R78" i="1" s="1"/>
  <c r="Q22" i="1"/>
  <c r="R22" i="1" s="1"/>
  <c r="Q12" i="1"/>
  <c r="R12" i="1" s="1"/>
  <c r="Q24" i="1"/>
  <c r="R24" i="1" s="1"/>
  <c r="Q58" i="1"/>
  <c r="R58" i="1" s="1"/>
  <c r="Q55" i="1"/>
  <c r="R55" i="1" s="1"/>
</calcChain>
</file>

<file path=xl/sharedStrings.xml><?xml version="1.0" encoding="utf-8"?>
<sst xmlns="http://schemas.openxmlformats.org/spreadsheetml/2006/main" count="229" uniqueCount="143">
  <si>
    <t>Sistema para el Desarrollo Integral de la Familia del Municipio de Valle de Santiago, Gto.</t>
  </si>
  <si>
    <t>Tabulador de Sueldos y Salarios General 2025</t>
  </si>
  <si>
    <t>Nombre</t>
  </si>
  <si>
    <t>Percepciones Catorcenales</t>
  </si>
  <si>
    <t>Percepciones Anuales</t>
  </si>
  <si>
    <t>Adicionales Anuales</t>
  </si>
  <si>
    <t>Nivel</t>
  </si>
  <si>
    <t xml:space="preserve">Puesto </t>
  </si>
  <si>
    <t xml:space="preserve">Plazas </t>
  </si>
  <si>
    <t>Tipo</t>
  </si>
  <si>
    <t xml:space="preserve">Direccion </t>
  </si>
  <si>
    <t>Salario Diario 2025</t>
  </si>
  <si>
    <t>Salario Diario Integrado 2025</t>
  </si>
  <si>
    <t xml:space="preserve">Sueldo </t>
  </si>
  <si>
    <t>Despensa</t>
  </si>
  <si>
    <t xml:space="preserve">Total Catorcenal </t>
  </si>
  <si>
    <t>Suma Anual</t>
  </si>
  <si>
    <t>Prima
 Vacacional
(30%*Vac)</t>
  </si>
  <si>
    <t>Aguinaldo
(50 días)</t>
  </si>
  <si>
    <t>Total Puesto</t>
  </si>
  <si>
    <t>Total Plantilla</t>
  </si>
  <si>
    <t>Director General</t>
  </si>
  <si>
    <t>C</t>
  </si>
  <si>
    <t xml:space="preserve">Dirección General </t>
  </si>
  <si>
    <t>Azalia Ileana Delgado Medina</t>
  </si>
  <si>
    <t>Contador</t>
  </si>
  <si>
    <t xml:space="preserve">Coordinacion Administrativa y Financiera </t>
  </si>
  <si>
    <t>Andres Mosqueda Juarez</t>
  </si>
  <si>
    <t>Maestro de Música A</t>
  </si>
  <si>
    <t xml:space="preserve">Atención a Niños, Niñas y Adolescentes en Situación Extraodinaria </t>
  </si>
  <si>
    <t>Leticia Fernandez Cortes</t>
  </si>
  <si>
    <t>Maestro de Música B</t>
  </si>
  <si>
    <t>Ingrid Ximena Moreno Garcia</t>
  </si>
  <si>
    <t>Coordinador de Área A</t>
  </si>
  <si>
    <t xml:space="preserve">Asistencia Alimentaria </t>
  </si>
  <si>
    <t>Luis Manuel Sanchez Morales</t>
  </si>
  <si>
    <t>Desarrollo Comunitario</t>
  </si>
  <si>
    <t>Karla Mercedes Cuellar Serratos</t>
  </si>
  <si>
    <t>Prevención de Riesgos Psicosociales</t>
  </si>
  <si>
    <t>Eduardo Agustin Lara Hernandez</t>
  </si>
  <si>
    <t>Coordinador de Área B</t>
  </si>
  <si>
    <t xml:space="preserve">Consutorio Médico y Rehabilitación </t>
  </si>
  <si>
    <t>vacante</t>
  </si>
  <si>
    <t>Encargada Centro de Asistencia Infantil  Comunitario</t>
  </si>
  <si>
    <t xml:space="preserve">Centro de Asistencia Infantil Comunitario </t>
  </si>
  <si>
    <t>Vianey Luz Maria Flores Vargas</t>
  </si>
  <si>
    <t>Coordinador de Área C</t>
  </si>
  <si>
    <t xml:space="preserve">Trabajo Social </t>
  </si>
  <si>
    <t>Ma. Alejandra Cordova Martinez</t>
  </si>
  <si>
    <t>Coordinador de Área D</t>
  </si>
  <si>
    <t xml:space="preserve">Unidad Administrativa de Atención Prevención a la Violencia </t>
  </si>
  <si>
    <t>Karla Isabel Uribe Ortega</t>
  </si>
  <si>
    <t>Coordinador de Área E</t>
  </si>
  <si>
    <t>Maria Guadalupe Garcia Robles</t>
  </si>
  <si>
    <t>Coordinador de Área F</t>
  </si>
  <si>
    <t xml:space="preserve">Comunicación Social </t>
  </si>
  <si>
    <t>Sergio Gonzalez Hernandez</t>
  </si>
  <si>
    <t xml:space="preserve">Adultos Mayores </t>
  </si>
  <si>
    <t>Monica Juarez Aguilar</t>
  </si>
  <si>
    <t xml:space="preserve">Jefe  de Rehabilitación </t>
  </si>
  <si>
    <t>B</t>
  </si>
  <si>
    <t xml:space="preserve">Jefatura de Rehabilitación </t>
  </si>
  <si>
    <t>Margarita Garcia Garcia</t>
  </si>
  <si>
    <t xml:space="preserve">Encargado del parque vehicular </t>
  </si>
  <si>
    <t>Jesus Alberto Mosqueda Juarez</t>
  </si>
  <si>
    <t xml:space="preserve">Auxiliar Contable </t>
  </si>
  <si>
    <t>Juan Luis Figueroa Zavala</t>
  </si>
  <si>
    <t>Veronica Molina Paramo</t>
  </si>
  <si>
    <t>Goretti del Carmen Rico Baeza</t>
  </si>
  <si>
    <t xml:space="preserve">Auxiliar de Dirección </t>
  </si>
  <si>
    <t>Rosa Liliana Alonso Negrete</t>
  </si>
  <si>
    <t xml:space="preserve">Chofer </t>
  </si>
  <si>
    <t>Pedro Garcia Acosta</t>
  </si>
  <si>
    <t>Rogelio Butanda Ramirez</t>
  </si>
  <si>
    <t>Jose Antonio Puente Lara</t>
  </si>
  <si>
    <t>Benjamin Anguiano Martinez</t>
  </si>
  <si>
    <t>Juan Antonio Zavala Patiño</t>
  </si>
  <si>
    <t>Angel Trinidad Salgado Almanza</t>
  </si>
  <si>
    <t>Edgar Gabriel Tavera Medina</t>
  </si>
  <si>
    <t>Juan Ramon Uribe Ortega</t>
  </si>
  <si>
    <t>Rosa Isela Medel Patlan</t>
  </si>
  <si>
    <t>Asesor Jurídico</t>
  </si>
  <si>
    <t>Unidad Administrativa Atención y Prevención a la Violencia</t>
  </si>
  <si>
    <t>Monserrat Gomez Ortega</t>
  </si>
  <si>
    <t>Terapista</t>
  </si>
  <si>
    <t>Brenda Cecilia Araiza Castro</t>
  </si>
  <si>
    <t>Perla Daniela Martinez Ayala</t>
  </si>
  <si>
    <t>Maria del Carmen Moncada Rojas</t>
  </si>
  <si>
    <t>Carlos Cesar Arroyo Ortega</t>
  </si>
  <si>
    <t xml:space="preserve">Asistente A </t>
  </si>
  <si>
    <t>Diana Ruth Flores Tovar</t>
  </si>
  <si>
    <t>Oscar Antonio Puente Martinez</t>
  </si>
  <si>
    <t>Leonardo Rodriguez Reyes</t>
  </si>
  <si>
    <t xml:space="preserve">Rosa Maria Butanda Ramirez </t>
  </si>
  <si>
    <t>Psicólogo</t>
  </si>
  <si>
    <t>Maria Fernanda Robles Sardina</t>
  </si>
  <si>
    <t>Nadia Indira Garcìa Moreno</t>
  </si>
  <si>
    <t>Jose Manuel Ramirez Gomez</t>
  </si>
  <si>
    <t>Fermin Pio Villegas</t>
  </si>
  <si>
    <t>Karla Guadalupe Corona Ramirez</t>
  </si>
  <si>
    <t>Ana Paola Rodriguez Varela</t>
  </si>
  <si>
    <t>Salvador Contreras Murillo</t>
  </si>
  <si>
    <t>Juan Gerardo Martinez Andrade</t>
  </si>
  <si>
    <t xml:space="preserve">Trabajadora Social </t>
  </si>
  <si>
    <t>Consuelo Sierra Perez</t>
  </si>
  <si>
    <t xml:space="preserve">Promotor </t>
  </si>
  <si>
    <t xml:space="preserve">Desarrollo Comunitario </t>
  </si>
  <si>
    <t>Maria del Carmen Silva Aguilar</t>
  </si>
  <si>
    <t>Maria Isabel Cristina Perez Rodriguez</t>
  </si>
  <si>
    <t>Daniela Morales Gasca</t>
  </si>
  <si>
    <t xml:space="preserve">Mantenimiento </t>
  </si>
  <si>
    <t>Ma. Sanjuana Gonzalez Gutierrez</t>
  </si>
  <si>
    <t>Asistente B</t>
  </si>
  <si>
    <t>Alondra Hernàndez Magaña</t>
  </si>
  <si>
    <t>Vanessa Palma Andrade</t>
  </si>
  <si>
    <t>Rafael Aguilar Perez</t>
  </si>
  <si>
    <t>Ayudante A</t>
  </si>
  <si>
    <t>Martha Liliana Martinez Jaramillo</t>
  </si>
  <si>
    <t>Juana Cardenas Corona</t>
  </si>
  <si>
    <t>Comunitario</t>
  </si>
  <si>
    <t>Elsa Victoria Givea Perez</t>
  </si>
  <si>
    <t>Adulto Mayor</t>
  </si>
  <si>
    <t>Marlene Gonzalez Roa</t>
  </si>
  <si>
    <t>Intendencia</t>
  </si>
  <si>
    <t>Susana Mosqueda Ramirez</t>
  </si>
  <si>
    <t>Sanjuana Aguilar Martinez</t>
  </si>
  <si>
    <t>Santiago Rivera Moreno</t>
  </si>
  <si>
    <t xml:space="preserve">Portero </t>
  </si>
  <si>
    <t>Juan Pablo Martinez Maciel</t>
  </si>
  <si>
    <t>Rodolfo Francisco Alonso Perez</t>
  </si>
  <si>
    <t>Educadora</t>
  </si>
  <si>
    <t>Lorena Carrillo Silva</t>
  </si>
  <si>
    <t>Silvia Rivera Tavera</t>
  </si>
  <si>
    <t>Christian Guadalupe Ramirez</t>
  </si>
  <si>
    <t>Jovanna Itzel Garcia Baca</t>
  </si>
  <si>
    <t>Aida Gomez Sandoval</t>
  </si>
  <si>
    <t>Estefania Arredondo Hernandez</t>
  </si>
  <si>
    <t>Mayra Yazmin Gonzalez Mosqueda</t>
  </si>
  <si>
    <t>Asistente E</t>
  </si>
  <si>
    <t>Maria Guadalupe Mosqueda Flores</t>
  </si>
  <si>
    <t>Maestro de Musica C</t>
  </si>
  <si>
    <t>Catherin Mariela Hernandez Ramirez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</si>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</sst>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60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6" fillId="2" borderId="2" xfId="3" applyFont="1" applyFill="1" applyBorder="1" applyAlignment="1">
      <alignment horizontal="left" vertical="center"/>
    </xf>
    <xf numFmtId="0" fontId="6" fillId="2" borderId="2" xfId="3" applyFont="1" applyFill="1" applyBorder="1" applyAlignment="1">
      <alignment horizontal="center" vertical="center"/>
    </xf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left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left" wrapText="1"/>
    </xf>
    <xf numFmtId="44" fontId="8" fillId="2" borderId="2" xfId="2" applyFont="1" applyFill="1" applyBorder="1" applyAlignment="1">
      <alignment horizontal="right" vertical="center" wrapText="1"/>
    </xf>
    <xf numFmtId="44" fontId="8" fillId="2" borderId="2" xfId="2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left" vertical="center" wrapText="1"/>
    </xf>
    <xf numFmtId="4" fontId="8" fillId="2" borderId="2" xfId="1" applyNumberFormat="1" applyFont="1" applyFill="1" applyBorder="1" applyAlignment="1">
      <alignment horizontal="center" vertical="center" wrapText="1"/>
    </xf>
    <xf numFmtId="44" fontId="8" fillId="2" borderId="2" xfId="2" applyFont="1" applyFill="1" applyBorder="1" applyAlignment="1">
      <alignment horizontal="right" vertical="center" wrapText="1"/>
    </xf>
    <xf numFmtId="44" fontId="8" fillId="2" borderId="3" xfId="2" applyFont="1" applyFill="1" applyBorder="1" applyAlignment="1">
      <alignment horizontal="center" vertical="center" wrapText="1"/>
    </xf>
    <xf numFmtId="44" fontId="8" fillId="2" borderId="2" xfId="2" applyFont="1" applyFill="1" applyBorder="1" applyAlignment="1">
      <alignment vertical="center" wrapText="1"/>
    </xf>
    <xf numFmtId="44" fontId="8" fillId="2" borderId="4" xfId="2" applyFont="1" applyFill="1" applyBorder="1" applyAlignment="1">
      <alignment horizontal="center" vertical="center" wrapText="1"/>
    </xf>
    <xf numFmtId="44" fontId="8" fillId="2" borderId="1" xfId="2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center" vertical="center"/>
    </xf>
    <xf numFmtId="44" fontId="4" fillId="2" borderId="2" xfId="2" applyFont="1" applyFill="1" applyBorder="1" applyAlignment="1">
      <alignment horizontal="right" vertical="center"/>
    </xf>
    <xf numFmtId="44" fontId="4" fillId="2" borderId="2" xfId="2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horizontal="left" vertical="center"/>
    </xf>
    <xf numFmtId="44" fontId="4" fillId="2" borderId="2" xfId="2" applyFont="1" applyFill="1" applyBorder="1" applyAlignment="1">
      <alignment horizontal="right" vertical="center"/>
    </xf>
    <xf numFmtId="44" fontId="4" fillId="2" borderId="2" xfId="2" applyFont="1" applyFill="1" applyBorder="1" applyAlignment="1">
      <alignment vertical="center"/>
    </xf>
    <xf numFmtId="1" fontId="8" fillId="2" borderId="2" xfId="0" applyNumberFormat="1" applyFont="1" applyFill="1" applyBorder="1" applyAlignment="1">
      <alignment horizontal="left" vertical="center" wrapText="1"/>
    </xf>
    <xf numFmtId="44" fontId="4" fillId="2" borderId="2" xfId="2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left" wrapText="1"/>
    </xf>
    <xf numFmtId="44" fontId="4" fillId="2" borderId="2" xfId="2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44" fontId="4" fillId="2" borderId="2" xfId="2" applyFont="1" applyFill="1" applyBorder="1" applyAlignment="1">
      <alignment horizontal="center"/>
    </xf>
    <xf numFmtId="44" fontId="12" fillId="2" borderId="2" xfId="2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wrapText="1"/>
    </xf>
    <xf numFmtId="44" fontId="10" fillId="2" borderId="2" xfId="2" applyFont="1" applyFill="1" applyBorder="1" applyAlignment="1"/>
  </cellXfs>
  <cellStyles count="4">
    <cellStyle name="Millares" xfId="1" builtinId="3"/>
    <cellStyle name="Moneda" xfId="2" builtinId="4"/>
    <cellStyle name="Normal" xfId="0" builtinId="0"/>
    <cellStyle name="Normal_Calendario de diagnostico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0</xdr:row>
      <xdr:rowOff>0</xdr:rowOff>
    </xdr:from>
    <xdr:ext cx="1134956" cy="940858"/>
    <xdr:pic>
      <xdr:nvPicPr>
        <xdr:cNvPr id="2" name="Imagen 1" descr="C:\Users\Dif\Desktop\NOMINA\LOGO TIPO 2024-2027\logo 2024-2027.png">
          <a:extLst>
            <a:ext uri="{FF2B5EF4-FFF2-40B4-BE49-F238E27FC236}">
              <a16:creationId xmlns:a16="http://schemas.microsoft.com/office/drawing/2014/main" id="{C7618452-DF06-4FC2-A203-95EEB327E5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134956" cy="94085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180976</xdr:colOff>
      <xdr:row>0</xdr:row>
      <xdr:rowOff>30956</xdr:rowOff>
    </xdr:from>
    <xdr:ext cx="799042" cy="919692"/>
    <xdr:pic>
      <xdr:nvPicPr>
        <xdr:cNvPr id="3" name="Imagen 2" descr="C:\Users\Dif\Desktop\NOMINA\LOGO TIPO 2024-2027\Recurso 1Logo.png">
          <a:extLst>
            <a:ext uri="{FF2B5EF4-FFF2-40B4-BE49-F238E27FC236}">
              <a16:creationId xmlns:a16="http://schemas.microsoft.com/office/drawing/2014/main" id="{7177116E-1B28-4202-9FEB-72434684C70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6476" y="30956"/>
          <a:ext cx="799042" cy="91969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tabSelected="1" workbookViewId="0">
      <selection activeCell="R37" sqref="R37"/>
    </sheetView>
  </sheetViews>
  <sheetFormatPr baseColWidth="10" defaultRowHeight="15" x14ac:dyDescent="0.25"/>
  <cols>
    <col min="18" max="18" width="13.28515625" customWidth="1"/>
  </cols>
  <sheetData>
    <row r="1" spans="1:18" ht="20.25" x14ac:dyDescent="0.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3"/>
    </row>
    <row r="2" spans="1:18" ht="20.25" x14ac:dyDescent="0.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20.25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8" x14ac:dyDescent="0.25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7"/>
    </row>
    <row r="5" spans="1:18" ht="20.25" x14ac:dyDescent="0.3">
      <c r="A5" s="8"/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10"/>
    </row>
    <row r="6" spans="1:18" x14ac:dyDescent="0.25">
      <c r="A6" s="11"/>
      <c r="B6" s="12"/>
      <c r="C6" s="13"/>
      <c r="D6" s="13"/>
      <c r="E6" s="14"/>
      <c r="F6" s="15" t="s">
        <v>2</v>
      </c>
      <c r="G6" s="13"/>
      <c r="H6" s="11"/>
      <c r="I6" s="16" t="s">
        <v>3</v>
      </c>
      <c r="J6" s="17"/>
      <c r="K6" s="17"/>
      <c r="L6" s="16" t="s">
        <v>4</v>
      </c>
      <c r="M6" s="17"/>
      <c r="N6" s="17"/>
      <c r="O6" s="16" t="s">
        <v>5</v>
      </c>
      <c r="P6" s="17"/>
      <c r="Q6" s="17"/>
      <c r="R6" s="18"/>
    </row>
    <row r="7" spans="1:18" ht="38.25" x14ac:dyDescent="0.25">
      <c r="A7" s="19" t="s">
        <v>6</v>
      </c>
      <c r="B7" s="19" t="s">
        <v>7</v>
      </c>
      <c r="C7" s="19" t="s">
        <v>8</v>
      </c>
      <c r="D7" s="19" t="s">
        <v>9</v>
      </c>
      <c r="E7" s="19" t="s">
        <v>10</v>
      </c>
      <c r="F7" s="19"/>
      <c r="G7" s="19" t="s">
        <v>11</v>
      </c>
      <c r="H7" s="19" t="s">
        <v>12</v>
      </c>
      <c r="I7" s="19" t="s">
        <v>13</v>
      </c>
      <c r="J7" s="19" t="s">
        <v>14</v>
      </c>
      <c r="K7" s="19" t="s">
        <v>15</v>
      </c>
      <c r="L7" s="19" t="s">
        <v>13</v>
      </c>
      <c r="M7" s="19" t="s">
        <v>14</v>
      </c>
      <c r="N7" s="19" t="s">
        <v>16</v>
      </c>
      <c r="O7" s="19" t="s">
        <v>17</v>
      </c>
      <c r="P7" s="20" t="s">
        <v>18</v>
      </c>
      <c r="Q7" s="19" t="s">
        <v>19</v>
      </c>
      <c r="R7" s="21" t="s">
        <v>20</v>
      </c>
    </row>
    <row r="8" spans="1:18" ht="39" x14ac:dyDescent="0.25">
      <c r="A8" s="22">
        <v>37</v>
      </c>
      <c r="B8" s="23" t="s">
        <v>21</v>
      </c>
      <c r="C8" s="22">
        <v>1</v>
      </c>
      <c r="D8" s="24" t="s">
        <v>22</v>
      </c>
      <c r="E8" s="25" t="s">
        <v>23</v>
      </c>
      <c r="F8" s="25" t="s">
        <v>24</v>
      </c>
      <c r="G8" s="26">
        <f>921.46*4%+921.46</f>
        <v>958.3184</v>
      </c>
      <c r="H8" s="26">
        <f>955.01*4%+955.01</f>
        <v>993.21039999999994</v>
      </c>
      <c r="I8" s="26">
        <f t="shared" ref="I8:I34" si="0">G8*14</f>
        <v>13416.4576</v>
      </c>
      <c r="J8" s="26">
        <f>469.7*4%+469.7</f>
        <v>488.488</v>
      </c>
      <c r="K8" s="26">
        <f t="shared" ref="K8:K34" si="1">H8*14</f>
        <v>13904.945599999999</v>
      </c>
      <c r="L8" s="26">
        <f t="shared" ref="L8:N12" si="2">I8*26</f>
        <v>348827.89759999997</v>
      </c>
      <c r="M8" s="26">
        <f t="shared" si="2"/>
        <v>12700.688</v>
      </c>
      <c r="N8" s="26">
        <f t="shared" si="2"/>
        <v>361528.58559999999</v>
      </c>
      <c r="O8" s="26">
        <f t="shared" ref="O8:O15" si="3">H8*10*30%*2</f>
        <v>5959.2623999999996</v>
      </c>
      <c r="P8" s="26">
        <f t="shared" ref="P8:P15" si="4">H8*50</f>
        <v>49660.52</v>
      </c>
      <c r="Q8" s="26">
        <f>N8+O8+P8</f>
        <v>417148.36800000002</v>
      </c>
      <c r="R8" s="27">
        <f>Q8*C8</f>
        <v>417148.36800000002</v>
      </c>
    </row>
    <row r="9" spans="1:18" ht="39" x14ac:dyDescent="0.25">
      <c r="A9" s="22">
        <v>36</v>
      </c>
      <c r="B9" s="23" t="s">
        <v>25</v>
      </c>
      <c r="C9" s="22">
        <v>1</v>
      </c>
      <c r="D9" s="24" t="s">
        <v>22</v>
      </c>
      <c r="E9" s="25" t="s">
        <v>26</v>
      </c>
      <c r="F9" s="25" t="s">
        <v>27</v>
      </c>
      <c r="G9" s="26">
        <f>781.54*4%+781.54</f>
        <v>812.80160000000001</v>
      </c>
      <c r="H9" s="26">
        <f>815.09*4%+815.09</f>
        <v>847.69360000000006</v>
      </c>
      <c r="I9" s="26">
        <f t="shared" si="0"/>
        <v>11379.222400000001</v>
      </c>
      <c r="J9" s="26">
        <f>469.7*4%+469.7</f>
        <v>488.488</v>
      </c>
      <c r="K9" s="26">
        <f t="shared" si="1"/>
        <v>11867.7104</v>
      </c>
      <c r="L9" s="26">
        <f t="shared" si="2"/>
        <v>295859.78240000003</v>
      </c>
      <c r="M9" s="26">
        <f t="shared" si="2"/>
        <v>12700.688</v>
      </c>
      <c r="N9" s="26">
        <f t="shared" si="2"/>
        <v>308560.47039999999</v>
      </c>
      <c r="O9" s="26">
        <f t="shared" si="3"/>
        <v>5086.1616000000004</v>
      </c>
      <c r="P9" s="26">
        <f t="shared" si="4"/>
        <v>42384.68</v>
      </c>
      <c r="Q9" s="26">
        <f>N9+O9+P9</f>
        <v>356031.31199999998</v>
      </c>
      <c r="R9" s="27">
        <f>Q9*C9</f>
        <v>356031.31199999998</v>
      </c>
    </row>
    <row r="10" spans="1:18" ht="64.5" x14ac:dyDescent="0.25">
      <c r="A10" s="22">
        <v>35</v>
      </c>
      <c r="B10" s="23" t="s">
        <v>28</v>
      </c>
      <c r="C10" s="22">
        <v>1</v>
      </c>
      <c r="D10" s="24" t="s">
        <v>22</v>
      </c>
      <c r="E10" s="25" t="s">
        <v>29</v>
      </c>
      <c r="F10" s="25" t="s">
        <v>30</v>
      </c>
      <c r="G10" s="26">
        <f>473.7*4%+473.7</f>
        <v>492.64799999999997</v>
      </c>
      <c r="H10" s="26">
        <f>507.25*4%+507.25</f>
        <v>527.54</v>
      </c>
      <c r="I10" s="26">
        <f t="shared" si="0"/>
        <v>6897.0719999999992</v>
      </c>
      <c r="J10" s="26">
        <f>469.7*4%+469.7</f>
        <v>488.488</v>
      </c>
      <c r="K10" s="26">
        <f t="shared" si="1"/>
        <v>7385.5599999999995</v>
      </c>
      <c r="L10" s="26">
        <f t="shared" si="2"/>
        <v>179323.87199999997</v>
      </c>
      <c r="M10" s="26">
        <f t="shared" si="2"/>
        <v>12700.688</v>
      </c>
      <c r="N10" s="26">
        <f t="shared" si="2"/>
        <v>192024.56</v>
      </c>
      <c r="O10" s="26">
        <f t="shared" si="3"/>
        <v>3165.24</v>
      </c>
      <c r="P10" s="26">
        <f t="shared" si="4"/>
        <v>26377</v>
      </c>
      <c r="Q10" s="26">
        <f>N10+O10+P10</f>
        <v>221566.8</v>
      </c>
      <c r="R10" s="27">
        <f>Q10*C10</f>
        <v>221566.8</v>
      </c>
    </row>
    <row r="11" spans="1:18" ht="64.5" x14ac:dyDescent="0.25">
      <c r="A11" s="22">
        <v>34</v>
      </c>
      <c r="B11" s="23" t="s">
        <v>31</v>
      </c>
      <c r="C11" s="22">
        <v>1</v>
      </c>
      <c r="D11" s="24" t="s">
        <v>22</v>
      </c>
      <c r="E11" s="25" t="s">
        <v>29</v>
      </c>
      <c r="F11" s="25" t="s">
        <v>32</v>
      </c>
      <c r="G11" s="26">
        <f>449.6*4%+449.6</f>
        <v>467.584</v>
      </c>
      <c r="H11" s="26">
        <f>483.15*4%+483.15</f>
        <v>502.476</v>
      </c>
      <c r="I11" s="26">
        <f t="shared" si="0"/>
        <v>6546.1760000000004</v>
      </c>
      <c r="J11" s="26">
        <f>469.7*4%+469.7</f>
        <v>488.488</v>
      </c>
      <c r="K11" s="26">
        <f t="shared" si="1"/>
        <v>7034.6639999999998</v>
      </c>
      <c r="L11" s="26">
        <f t="shared" si="2"/>
        <v>170200.576</v>
      </c>
      <c r="M11" s="26">
        <f t="shared" si="2"/>
        <v>12700.688</v>
      </c>
      <c r="N11" s="26">
        <f t="shared" si="2"/>
        <v>182901.264</v>
      </c>
      <c r="O11" s="26">
        <f t="shared" si="3"/>
        <v>3014.8560000000002</v>
      </c>
      <c r="P11" s="26">
        <f t="shared" si="4"/>
        <v>25123.8</v>
      </c>
      <c r="Q11" s="26">
        <f>N11+O11+P11</f>
        <v>211039.91999999998</v>
      </c>
      <c r="R11" s="27">
        <f>Q11*C11</f>
        <v>211039.91999999998</v>
      </c>
    </row>
    <row r="12" spans="1:18" ht="39" x14ac:dyDescent="0.25">
      <c r="A12" s="28">
        <v>33</v>
      </c>
      <c r="B12" s="29" t="s">
        <v>33</v>
      </c>
      <c r="C12" s="28">
        <v>3</v>
      </c>
      <c r="D12" s="30" t="s">
        <v>22</v>
      </c>
      <c r="E12" s="25" t="s">
        <v>34</v>
      </c>
      <c r="F12" s="25" t="s">
        <v>35</v>
      </c>
      <c r="G12" s="31">
        <f>444*4%+444</f>
        <v>461.76</v>
      </c>
      <c r="H12" s="31">
        <f>477.55*4%+477.55</f>
        <v>496.65199999999999</v>
      </c>
      <c r="I12" s="31">
        <f t="shared" si="0"/>
        <v>6464.6399999999994</v>
      </c>
      <c r="J12" s="32">
        <v>488.488</v>
      </c>
      <c r="K12" s="31">
        <f t="shared" si="1"/>
        <v>6953.1279999999997</v>
      </c>
      <c r="L12" s="31">
        <f t="shared" si="2"/>
        <v>168080.63999999998</v>
      </c>
      <c r="M12" s="31">
        <f t="shared" si="2"/>
        <v>12700.688</v>
      </c>
      <c r="N12" s="31">
        <f t="shared" si="2"/>
        <v>180781.32799999998</v>
      </c>
      <c r="O12" s="31">
        <f t="shared" si="3"/>
        <v>2979.9119999999998</v>
      </c>
      <c r="P12" s="31">
        <f t="shared" si="4"/>
        <v>24832.6</v>
      </c>
      <c r="Q12" s="31">
        <f>N12+O12+P12</f>
        <v>208593.84</v>
      </c>
      <c r="R12" s="33">
        <f>Q12*C12</f>
        <v>625781.52</v>
      </c>
    </row>
    <row r="13" spans="1:18" ht="51.75" x14ac:dyDescent="0.25">
      <c r="A13" s="28"/>
      <c r="B13" s="29"/>
      <c r="C13" s="28"/>
      <c r="D13" s="30"/>
      <c r="E13" s="25" t="s">
        <v>36</v>
      </c>
      <c r="F13" s="25" t="s">
        <v>37</v>
      </c>
      <c r="G13" s="31"/>
      <c r="H13" s="31"/>
      <c r="I13" s="31">
        <f t="shared" si="0"/>
        <v>0</v>
      </c>
      <c r="J13" s="34"/>
      <c r="K13" s="31">
        <f t="shared" si="1"/>
        <v>0</v>
      </c>
      <c r="L13" s="31"/>
      <c r="M13" s="31"/>
      <c r="N13" s="31"/>
      <c r="O13" s="31">
        <f t="shared" si="3"/>
        <v>0</v>
      </c>
      <c r="P13" s="31">
        <f t="shared" si="4"/>
        <v>0</v>
      </c>
      <c r="Q13" s="31"/>
      <c r="R13" s="33"/>
    </row>
    <row r="14" spans="1:18" ht="39" x14ac:dyDescent="0.25">
      <c r="A14" s="28"/>
      <c r="B14" s="29"/>
      <c r="C14" s="28"/>
      <c r="D14" s="30"/>
      <c r="E14" s="25" t="s">
        <v>38</v>
      </c>
      <c r="F14" s="25" t="s">
        <v>39</v>
      </c>
      <c r="G14" s="31"/>
      <c r="H14" s="31"/>
      <c r="I14" s="31">
        <f t="shared" si="0"/>
        <v>0</v>
      </c>
      <c r="J14" s="35"/>
      <c r="K14" s="31">
        <f t="shared" si="1"/>
        <v>0</v>
      </c>
      <c r="L14" s="31"/>
      <c r="M14" s="31"/>
      <c r="N14" s="31"/>
      <c r="O14" s="31">
        <f t="shared" si="3"/>
        <v>0</v>
      </c>
      <c r="P14" s="31">
        <f t="shared" si="4"/>
        <v>0</v>
      </c>
      <c r="Q14" s="31"/>
      <c r="R14" s="33"/>
    </row>
    <row r="15" spans="1:18" ht="39" x14ac:dyDescent="0.25">
      <c r="A15" s="22">
        <v>32</v>
      </c>
      <c r="B15" s="23" t="s">
        <v>40</v>
      </c>
      <c r="C15" s="22">
        <v>1</v>
      </c>
      <c r="D15" s="24" t="s">
        <v>22</v>
      </c>
      <c r="E15" s="25" t="s">
        <v>41</v>
      </c>
      <c r="F15" s="25" t="s">
        <v>42</v>
      </c>
      <c r="G15" s="26">
        <f>427.4*4%+427.4</f>
        <v>444.49599999999998</v>
      </c>
      <c r="H15" s="26">
        <f>460.95*4%+460.95</f>
        <v>479.38799999999998</v>
      </c>
      <c r="I15" s="26">
        <f t="shared" si="0"/>
        <v>6222.9439999999995</v>
      </c>
      <c r="J15" s="26">
        <f t="shared" ref="J15:J23" si="5">469.7*4%+469.7</f>
        <v>488.488</v>
      </c>
      <c r="K15" s="26">
        <f t="shared" si="1"/>
        <v>6711.4319999999998</v>
      </c>
      <c r="L15" s="26">
        <f t="shared" ref="L15:N24" si="6">I15*26</f>
        <v>161796.54399999999</v>
      </c>
      <c r="M15" s="26">
        <f t="shared" si="6"/>
        <v>12700.688</v>
      </c>
      <c r="N15" s="26">
        <f t="shared" si="6"/>
        <v>174497.23199999999</v>
      </c>
      <c r="O15" s="26">
        <f t="shared" si="3"/>
        <v>2876.328</v>
      </c>
      <c r="P15" s="26">
        <f t="shared" si="4"/>
        <v>23969.399999999998</v>
      </c>
      <c r="Q15" s="26">
        <f t="shared" ref="Q15:Q24" si="7">N15+O15+P15</f>
        <v>201342.96</v>
      </c>
      <c r="R15" s="27">
        <f t="shared" ref="R15:R24" si="8">Q15*C15</f>
        <v>201342.96</v>
      </c>
    </row>
    <row r="16" spans="1:18" ht="63.75" x14ac:dyDescent="0.25">
      <c r="A16" s="22">
        <v>31</v>
      </c>
      <c r="B16" s="36" t="s">
        <v>43</v>
      </c>
      <c r="C16" s="37">
        <v>1</v>
      </c>
      <c r="D16" s="37" t="s">
        <v>22</v>
      </c>
      <c r="E16" s="25" t="s">
        <v>44</v>
      </c>
      <c r="F16" s="25" t="s">
        <v>45</v>
      </c>
      <c r="G16" s="26">
        <f>427.4*4%+427.4</f>
        <v>444.49599999999998</v>
      </c>
      <c r="H16" s="26">
        <f>460.95*4%+460.95</f>
        <v>479.38799999999998</v>
      </c>
      <c r="I16" s="26">
        <f t="shared" si="0"/>
        <v>6222.9439999999995</v>
      </c>
      <c r="J16" s="26">
        <f t="shared" si="5"/>
        <v>488.488</v>
      </c>
      <c r="K16" s="26">
        <f t="shared" si="1"/>
        <v>6711.4319999999998</v>
      </c>
      <c r="L16" s="26">
        <f t="shared" si="6"/>
        <v>161796.54399999999</v>
      </c>
      <c r="M16" s="26">
        <f t="shared" si="6"/>
        <v>12700.688</v>
      </c>
      <c r="N16" s="26">
        <f t="shared" si="6"/>
        <v>174497.23199999999</v>
      </c>
      <c r="O16" s="26">
        <f>H16*10*30%*2/26*26</f>
        <v>2876.328</v>
      </c>
      <c r="P16" s="26">
        <f>H16*50/26*26</f>
        <v>23969.399999999998</v>
      </c>
      <c r="Q16" s="26">
        <f t="shared" si="7"/>
        <v>201342.96</v>
      </c>
      <c r="R16" s="27">
        <f t="shared" si="8"/>
        <v>201342.96</v>
      </c>
    </row>
    <row r="17" spans="1:18" ht="39" x14ac:dyDescent="0.25">
      <c r="A17" s="22">
        <v>30</v>
      </c>
      <c r="B17" s="23" t="s">
        <v>46</v>
      </c>
      <c r="C17" s="22">
        <v>1</v>
      </c>
      <c r="D17" s="24" t="s">
        <v>22</v>
      </c>
      <c r="E17" s="25" t="s">
        <v>47</v>
      </c>
      <c r="F17" s="25" t="s">
        <v>48</v>
      </c>
      <c r="G17" s="26">
        <f>410.33*4%+410.33</f>
        <v>426.7432</v>
      </c>
      <c r="H17" s="26">
        <f>443.88*4%+443.88</f>
        <v>461.6352</v>
      </c>
      <c r="I17" s="26">
        <f t="shared" si="0"/>
        <v>5974.4048000000003</v>
      </c>
      <c r="J17" s="26">
        <f t="shared" si="5"/>
        <v>488.488</v>
      </c>
      <c r="K17" s="26">
        <f t="shared" si="1"/>
        <v>6462.8927999999996</v>
      </c>
      <c r="L17" s="26">
        <f t="shared" si="6"/>
        <v>155334.52480000001</v>
      </c>
      <c r="M17" s="26">
        <f t="shared" si="6"/>
        <v>12700.688</v>
      </c>
      <c r="N17" s="26">
        <f t="shared" si="6"/>
        <v>168035.21279999998</v>
      </c>
      <c r="O17" s="26">
        <f t="shared" ref="O17:O26" si="9">H17*10*30%*2</f>
        <v>2769.8111999999996</v>
      </c>
      <c r="P17" s="26">
        <f t="shared" ref="P17:P26" si="10">H17*50</f>
        <v>23081.759999999998</v>
      </c>
      <c r="Q17" s="26">
        <f t="shared" si="7"/>
        <v>193886.78399999999</v>
      </c>
      <c r="R17" s="27">
        <f t="shared" si="8"/>
        <v>193886.78399999999</v>
      </c>
    </row>
    <row r="18" spans="1:18" ht="64.5" x14ac:dyDescent="0.25">
      <c r="A18" s="22">
        <v>29</v>
      </c>
      <c r="B18" s="23" t="s">
        <v>49</v>
      </c>
      <c r="C18" s="22">
        <v>1</v>
      </c>
      <c r="D18" s="24" t="s">
        <v>22</v>
      </c>
      <c r="E18" s="25" t="s">
        <v>50</v>
      </c>
      <c r="F18" s="25" t="s">
        <v>51</v>
      </c>
      <c r="G18" s="26">
        <f>383.27*4%+383.27</f>
        <v>398.60079999999999</v>
      </c>
      <c r="H18" s="26">
        <f>416.82*4%+416.82</f>
        <v>433.49279999999999</v>
      </c>
      <c r="I18" s="26">
        <f t="shared" si="0"/>
        <v>5580.4111999999996</v>
      </c>
      <c r="J18" s="26">
        <f t="shared" si="5"/>
        <v>488.488</v>
      </c>
      <c r="K18" s="26">
        <f t="shared" si="1"/>
        <v>6068.8991999999998</v>
      </c>
      <c r="L18" s="26">
        <f t="shared" si="6"/>
        <v>145090.6912</v>
      </c>
      <c r="M18" s="26">
        <f t="shared" si="6"/>
        <v>12700.688</v>
      </c>
      <c r="N18" s="26">
        <f t="shared" si="6"/>
        <v>157791.3792</v>
      </c>
      <c r="O18" s="26">
        <f t="shared" si="9"/>
        <v>2600.9567999999999</v>
      </c>
      <c r="P18" s="26">
        <f t="shared" si="10"/>
        <v>21674.639999999999</v>
      </c>
      <c r="Q18" s="26">
        <f t="shared" si="7"/>
        <v>182066.97600000002</v>
      </c>
      <c r="R18" s="27">
        <f t="shared" si="8"/>
        <v>182066.97600000002</v>
      </c>
    </row>
    <row r="19" spans="1:18" ht="64.5" x14ac:dyDescent="0.25">
      <c r="A19" s="22">
        <v>28</v>
      </c>
      <c r="B19" s="23" t="s">
        <v>52</v>
      </c>
      <c r="C19" s="22">
        <v>1</v>
      </c>
      <c r="D19" s="24" t="s">
        <v>22</v>
      </c>
      <c r="E19" s="25" t="s">
        <v>29</v>
      </c>
      <c r="F19" s="25" t="s">
        <v>53</v>
      </c>
      <c r="G19" s="26">
        <f>360.25*4%+360.25</f>
        <v>374.66</v>
      </c>
      <c r="H19" s="26">
        <f>393.8*4%+393.8</f>
        <v>409.55200000000002</v>
      </c>
      <c r="I19" s="26">
        <f t="shared" si="0"/>
        <v>5245.2400000000007</v>
      </c>
      <c r="J19" s="26">
        <f t="shared" si="5"/>
        <v>488.488</v>
      </c>
      <c r="K19" s="26">
        <f t="shared" si="1"/>
        <v>5733.7280000000001</v>
      </c>
      <c r="L19" s="26">
        <f t="shared" si="6"/>
        <v>136376.24000000002</v>
      </c>
      <c r="M19" s="26">
        <f t="shared" si="6"/>
        <v>12700.688</v>
      </c>
      <c r="N19" s="26">
        <f t="shared" si="6"/>
        <v>149076.92800000001</v>
      </c>
      <c r="O19" s="26">
        <f t="shared" si="9"/>
        <v>2457.3120000000004</v>
      </c>
      <c r="P19" s="26">
        <f t="shared" si="10"/>
        <v>20477.600000000002</v>
      </c>
      <c r="Q19" s="26">
        <f t="shared" si="7"/>
        <v>172011.84000000003</v>
      </c>
      <c r="R19" s="27">
        <f t="shared" si="8"/>
        <v>172011.84000000003</v>
      </c>
    </row>
    <row r="20" spans="1:18" ht="39" x14ac:dyDescent="0.25">
      <c r="A20" s="28">
        <v>27</v>
      </c>
      <c r="B20" s="29" t="s">
        <v>54</v>
      </c>
      <c r="C20" s="22">
        <v>1</v>
      </c>
      <c r="D20" s="24" t="s">
        <v>22</v>
      </c>
      <c r="E20" s="25" t="s">
        <v>55</v>
      </c>
      <c r="F20" s="25" t="s">
        <v>56</v>
      </c>
      <c r="G20" s="26">
        <f>353.64*4%+353.64</f>
        <v>367.78559999999999</v>
      </c>
      <c r="H20" s="26">
        <f>387.19*4%+387.19</f>
        <v>402.67759999999998</v>
      </c>
      <c r="I20" s="26">
        <f t="shared" si="0"/>
        <v>5148.9983999999995</v>
      </c>
      <c r="J20" s="26">
        <f t="shared" si="5"/>
        <v>488.488</v>
      </c>
      <c r="K20" s="26">
        <f t="shared" si="1"/>
        <v>5637.4863999999998</v>
      </c>
      <c r="L20" s="26">
        <f t="shared" si="6"/>
        <v>133873.95839999997</v>
      </c>
      <c r="M20" s="26">
        <f t="shared" si="6"/>
        <v>12700.688</v>
      </c>
      <c r="N20" s="26">
        <f t="shared" si="6"/>
        <v>146574.6464</v>
      </c>
      <c r="O20" s="26">
        <f t="shared" si="9"/>
        <v>2416.0655999999999</v>
      </c>
      <c r="P20" s="26">
        <f t="shared" si="10"/>
        <v>20133.879999999997</v>
      </c>
      <c r="Q20" s="26">
        <f t="shared" si="7"/>
        <v>169124.592</v>
      </c>
      <c r="R20" s="27">
        <f t="shared" si="8"/>
        <v>169124.592</v>
      </c>
    </row>
    <row r="21" spans="1:18" ht="26.25" x14ac:dyDescent="0.25">
      <c r="A21" s="28"/>
      <c r="B21" s="29"/>
      <c r="C21" s="38">
        <v>1</v>
      </c>
      <c r="D21" s="39" t="s">
        <v>22</v>
      </c>
      <c r="E21" s="25" t="s">
        <v>57</v>
      </c>
      <c r="F21" s="25" t="s">
        <v>58</v>
      </c>
      <c r="G21" s="26">
        <f>353.64*4%+353.64</f>
        <v>367.78559999999999</v>
      </c>
      <c r="H21" s="26">
        <f>387.19*4%+387.19</f>
        <v>402.67759999999998</v>
      </c>
      <c r="I21" s="26">
        <f t="shared" si="0"/>
        <v>5148.9983999999995</v>
      </c>
      <c r="J21" s="26">
        <f t="shared" si="5"/>
        <v>488.488</v>
      </c>
      <c r="K21" s="26">
        <f t="shared" si="1"/>
        <v>5637.4863999999998</v>
      </c>
      <c r="L21" s="26">
        <f t="shared" si="6"/>
        <v>133873.95839999997</v>
      </c>
      <c r="M21" s="26">
        <f t="shared" si="6"/>
        <v>12700.688</v>
      </c>
      <c r="N21" s="26">
        <f t="shared" si="6"/>
        <v>146574.6464</v>
      </c>
      <c r="O21" s="26">
        <f t="shared" si="9"/>
        <v>2416.0655999999999</v>
      </c>
      <c r="P21" s="26">
        <f t="shared" si="10"/>
        <v>20133.879999999997</v>
      </c>
      <c r="Q21" s="26">
        <f t="shared" si="7"/>
        <v>169124.592</v>
      </c>
      <c r="R21" s="27">
        <f t="shared" si="8"/>
        <v>169124.592</v>
      </c>
    </row>
    <row r="22" spans="1:18" ht="26.25" x14ac:dyDescent="0.25">
      <c r="A22" s="22">
        <v>26</v>
      </c>
      <c r="B22" s="36" t="s">
        <v>59</v>
      </c>
      <c r="C22" s="37">
        <v>1</v>
      </c>
      <c r="D22" s="37" t="s">
        <v>60</v>
      </c>
      <c r="E22" s="25" t="s">
        <v>61</v>
      </c>
      <c r="F22" s="25" t="s">
        <v>62</v>
      </c>
      <c r="G22" s="26">
        <f>353.64*4%+353.64</f>
        <v>367.78559999999999</v>
      </c>
      <c r="H22" s="26">
        <f>387.19*4%+387.19</f>
        <v>402.67759999999998</v>
      </c>
      <c r="I22" s="26">
        <f t="shared" si="0"/>
        <v>5148.9983999999995</v>
      </c>
      <c r="J22" s="26">
        <f t="shared" si="5"/>
        <v>488.488</v>
      </c>
      <c r="K22" s="26">
        <f t="shared" si="1"/>
        <v>5637.4863999999998</v>
      </c>
      <c r="L22" s="26">
        <f t="shared" si="6"/>
        <v>133873.95839999997</v>
      </c>
      <c r="M22" s="26">
        <f t="shared" si="6"/>
        <v>12700.688</v>
      </c>
      <c r="N22" s="26">
        <f t="shared" si="6"/>
        <v>146574.6464</v>
      </c>
      <c r="O22" s="26">
        <f t="shared" si="9"/>
        <v>2416.0655999999999</v>
      </c>
      <c r="P22" s="26">
        <f t="shared" si="10"/>
        <v>20133.879999999997</v>
      </c>
      <c r="Q22" s="26">
        <f t="shared" si="7"/>
        <v>169124.592</v>
      </c>
      <c r="R22" s="27">
        <f t="shared" si="8"/>
        <v>169124.592</v>
      </c>
    </row>
    <row r="23" spans="1:18" ht="39" x14ac:dyDescent="0.25">
      <c r="A23" s="22">
        <v>24</v>
      </c>
      <c r="B23" s="23" t="s">
        <v>63</v>
      </c>
      <c r="C23" s="22">
        <v>1</v>
      </c>
      <c r="D23" s="24" t="s">
        <v>60</v>
      </c>
      <c r="E23" s="25" t="s">
        <v>26</v>
      </c>
      <c r="F23" s="25" t="s">
        <v>64</v>
      </c>
      <c r="G23" s="26">
        <f>343.56*4%+343.56</f>
        <v>357.30239999999998</v>
      </c>
      <c r="H23" s="26">
        <f>377.11*4%+377.11</f>
        <v>392.19440000000003</v>
      </c>
      <c r="I23" s="26">
        <f t="shared" si="0"/>
        <v>5002.2335999999996</v>
      </c>
      <c r="J23" s="26">
        <f t="shared" si="5"/>
        <v>488.488</v>
      </c>
      <c r="K23" s="26">
        <f t="shared" si="1"/>
        <v>5490.7216000000008</v>
      </c>
      <c r="L23" s="26">
        <f t="shared" si="6"/>
        <v>130058.07359999999</v>
      </c>
      <c r="M23" s="26">
        <f t="shared" si="6"/>
        <v>12700.688</v>
      </c>
      <c r="N23" s="26">
        <f t="shared" si="6"/>
        <v>142758.76160000003</v>
      </c>
      <c r="O23" s="26">
        <f t="shared" si="9"/>
        <v>2353.1664000000001</v>
      </c>
      <c r="P23" s="26">
        <f t="shared" si="10"/>
        <v>19609.72</v>
      </c>
      <c r="Q23" s="26">
        <f t="shared" si="7"/>
        <v>164721.64800000002</v>
      </c>
      <c r="R23" s="27">
        <f t="shared" si="8"/>
        <v>164721.64800000002</v>
      </c>
    </row>
    <row r="24" spans="1:18" ht="39" x14ac:dyDescent="0.25">
      <c r="A24" s="40">
        <v>23</v>
      </c>
      <c r="B24" s="41" t="s">
        <v>65</v>
      </c>
      <c r="C24" s="40">
        <v>3</v>
      </c>
      <c r="D24" s="42" t="s">
        <v>60</v>
      </c>
      <c r="E24" s="25" t="s">
        <v>26</v>
      </c>
      <c r="F24" s="25" t="s">
        <v>66</v>
      </c>
      <c r="G24" s="43">
        <f>343.56*4%+343.56</f>
        <v>357.30239999999998</v>
      </c>
      <c r="H24" s="43">
        <f>377.11*4%+377.11</f>
        <v>392.19440000000003</v>
      </c>
      <c r="I24" s="43">
        <f t="shared" si="0"/>
        <v>5002.2335999999996</v>
      </c>
      <c r="J24" s="43">
        <v>488.488</v>
      </c>
      <c r="K24" s="43">
        <f t="shared" si="1"/>
        <v>5490.7216000000008</v>
      </c>
      <c r="L24" s="43">
        <f t="shared" si="6"/>
        <v>130058.07359999999</v>
      </c>
      <c r="M24" s="43">
        <f t="shared" si="6"/>
        <v>12700.688</v>
      </c>
      <c r="N24" s="43">
        <f t="shared" si="6"/>
        <v>142758.76160000003</v>
      </c>
      <c r="O24" s="43">
        <f t="shared" si="9"/>
        <v>2353.1664000000001</v>
      </c>
      <c r="P24" s="43">
        <f t="shared" si="10"/>
        <v>19609.72</v>
      </c>
      <c r="Q24" s="43">
        <f t="shared" si="7"/>
        <v>164721.64800000002</v>
      </c>
      <c r="R24" s="44">
        <f t="shared" si="8"/>
        <v>494164.94400000002</v>
      </c>
    </row>
    <row r="25" spans="1:18" ht="39" x14ac:dyDescent="0.25">
      <c r="A25" s="40"/>
      <c r="B25" s="41"/>
      <c r="C25" s="40"/>
      <c r="D25" s="42"/>
      <c r="E25" s="25" t="s">
        <v>26</v>
      </c>
      <c r="F25" s="25" t="s">
        <v>67</v>
      </c>
      <c r="G25" s="43"/>
      <c r="H25" s="43"/>
      <c r="I25" s="43">
        <f t="shared" si="0"/>
        <v>0</v>
      </c>
      <c r="J25" s="43"/>
      <c r="K25" s="43">
        <f t="shared" si="1"/>
        <v>0</v>
      </c>
      <c r="L25" s="43"/>
      <c r="M25" s="43"/>
      <c r="N25" s="43"/>
      <c r="O25" s="43">
        <f t="shared" si="9"/>
        <v>0</v>
      </c>
      <c r="P25" s="43">
        <f t="shared" si="10"/>
        <v>0</v>
      </c>
      <c r="Q25" s="43"/>
      <c r="R25" s="44"/>
    </row>
    <row r="26" spans="1:18" ht="39" x14ac:dyDescent="0.25">
      <c r="A26" s="40"/>
      <c r="B26" s="41"/>
      <c r="C26" s="40"/>
      <c r="D26" s="42"/>
      <c r="E26" s="25" t="s">
        <v>26</v>
      </c>
      <c r="F26" s="25" t="s">
        <v>68</v>
      </c>
      <c r="G26" s="43"/>
      <c r="H26" s="43"/>
      <c r="I26" s="43">
        <f t="shared" si="0"/>
        <v>0</v>
      </c>
      <c r="J26" s="43"/>
      <c r="K26" s="43">
        <f t="shared" si="1"/>
        <v>0</v>
      </c>
      <c r="L26" s="43"/>
      <c r="M26" s="43"/>
      <c r="N26" s="43"/>
      <c r="O26" s="43">
        <f t="shared" si="9"/>
        <v>0</v>
      </c>
      <c r="P26" s="43">
        <f t="shared" si="10"/>
        <v>0</v>
      </c>
      <c r="Q26" s="43"/>
      <c r="R26" s="44"/>
    </row>
    <row r="27" spans="1:18" ht="26.25" x14ac:dyDescent="0.25">
      <c r="A27" s="38">
        <v>22</v>
      </c>
      <c r="B27" s="45" t="s">
        <v>69</v>
      </c>
      <c r="C27" s="38">
        <v>1</v>
      </c>
      <c r="D27" s="39" t="s">
        <v>60</v>
      </c>
      <c r="E27" s="25" t="s">
        <v>23</v>
      </c>
      <c r="F27" s="25" t="s">
        <v>70</v>
      </c>
      <c r="G27" s="46">
        <f>322.76*4%+322.76</f>
        <v>335.67039999999997</v>
      </c>
      <c r="H27" s="46">
        <f>356.31*4%+356.31</f>
        <v>370.56240000000003</v>
      </c>
      <c r="I27" s="46">
        <f t="shared" si="0"/>
        <v>4699.3855999999996</v>
      </c>
      <c r="J27" s="26">
        <f>469.7*4%+469.7</f>
        <v>488.488</v>
      </c>
      <c r="K27" s="46">
        <f t="shared" si="1"/>
        <v>5187.8736000000008</v>
      </c>
      <c r="L27" s="46">
        <f t="shared" ref="L27:N28" si="11">I27*26</f>
        <v>122184.02559999999</v>
      </c>
      <c r="M27" s="46">
        <f t="shared" si="11"/>
        <v>12700.688</v>
      </c>
      <c r="N27" s="46">
        <f t="shared" si="11"/>
        <v>134884.71360000002</v>
      </c>
      <c r="O27" s="46">
        <f>H27*10*30%*2/26*26</f>
        <v>2223.3744000000002</v>
      </c>
      <c r="P27" s="46">
        <f>H27*50/26*26</f>
        <v>18528.120000000003</v>
      </c>
      <c r="Q27" s="46">
        <f>N27+O27+P27</f>
        <v>155636.20800000001</v>
      </c>
      <c r="R27" s="47">
        <f>Q27*C27</f>
        <v>155636.20800000001</v>
      </c>
    </row>
    <row r="28" spans="1:18" ht="39" x14ac:dyDescent="0.25">
      <c r="A28" s="40">
        <v>21</v>
      </c>
      <c r="B28" s="41" t="s">
        <v>71</v>
      </c>
      <c r="C28" s="40">
        <v>9</v>
      </c>
      <c r="D28" s="42" t="s">
        <v>60</v>
      </c>
      <c r="E28" s="25" t="s">
        <v>26</v>
      </c>
      <c r="F28" s="25" t="s">
        <v>72</v>
      </c>
      <c r="G28" s="43">
        <f>322.76*4%+322.76</f>
        <v>335.67039999999997</v>
      </c>
      <c r="H28" s="43">
        <f>356.31*4%+356.31</f>
        <v>370.56240000000003</v>
      </c>
      <c r="I28" s="43">
        <f t="shared" si="0"/>
        <v>4699.3855999999996</v>
      </c>
      <c r="J28" s="43">
        <v>488.488</v>
      </c>
      <c r="K28" s="43">
        <f t="shared" si="1"/>
        <v>5187.8736000000008</v>
      </c>
      <c r="L28" s="43">
        <f t="shared" si="11"/>
        <v>122184.02559999999</v>
      </c>
      <c r="M28" s="43">
        <f t="shared" si="11"/>
        <v>12700.688</v>
      </c>
      <c r="N28" s="43">
        <f t="shared" si="11"/>
        <v>134884.71360000002</v>
      </c>
      <c r="O28" s="43">
        <f t="shared" ref="O28:O34" si="12">H28*10*30%*2</f>
        <v>2223.3744000000002</v>
      </c>
      <c r="P28" s="43">
        <f t="shared" ref="P28:P34" si="13">H28*50</f>
        <v>18528.120000000003</v>
      </c>
      <c r="Q28" s="43">
        <f>N28+O28+P28</f>
        <v>155636.20800000001</v>
      </c>
      <c r="R28" s="44">
        <f>C28*Q28</f>
        <v>1400725.8720000002</v>
      </c>
    </row>
    <row r="29" spans="1:18" ht="39" x14ac:dyDescent="0.25">
      <c r="A29" s="40"/>
      <c r="B29" s="41"/>
      <c r="C29" s="40"/>
      <c r="D29" s="42"/>
      <c r="E29" s="25" t="s">
        <v>26</v>
      </c>
      <c r="F29" s="25" t="s">
        <v>73</v>
      </c>
      <c r="G29" s="43"/>
      <c r="H29" s="43"/>
      <c r="I29" s="43">
        <f t="shared" si="0"/>
        <v>0</v>
      </c>
      <c r="J29" s="43"/>
      <c r="K29" s="43">
        <f t="shared" si="1"/>
        <v>0</v>
      </c>
      <c r="L29" s="43"/>
      <c r="M29" s="43"/>
      <c r="N29" s="43"/>
      <c r="O29" s="43">
        <f t="shared" si="12"/>
        <v>0</v>
      </c>
      <c r="P29" s="43">
        <f t="shared" si="13"/>
        <v>0</v>
      </c>
      <c r="Q29" s="43"/>
      <c r="R29" s="44"/>
    </row>
    <row r="30" spans="1:18" ht="39" x14ac:dyDescent="0.25">
      <c r="A30" s="40"/>
      <c r="B30" s="41"/>
      <c r="C30" s="40"/>
      <c r="D30" s="42"/>
      <c r="E30" s="25" t="s">
        <v>26</v>
      </c>
      <c r="F30" s="25" t="s">
        <v>74</v>
      </c>
      <c r="G30" s="43"/>
      <c r="H30" s="43"/>
      <c r="I30" s="43">
        <f t="shared" si="0"/>
        <v>0</v>
      </c>
      <c r="J30" s="43"/>
      <c r="K30" s="43">
        <f t="shared" si="1"/>
        <v>0</v>
      </c>
      <c r="L30" s="43"/>
      <c r="M30" s="43"/>
      <c r="N30" s="43"/>
      <c r="O30" s="43">
        <f t="shared" si="12"/>
        <v>0</v>
      </c>
      <c r="P30" s="43">
        <f t="shared" si="13"/>
        <v>0</v>
      </c>
      <c r="Q30" s="43"/>
      <c r="R30" s="44"/>
    </row>
    <row r="31" spans="1:18" ht="39" x14ac:dyDescent="0.25">
      <c r="A31" s="40"/>
      <c r="B31" s="41"/>
      <c r="C31" s="40"/>
      <c r="D31" s="42"/>
      <c r="E31" s="25" t="s">
        <v>26</v>
      </c>
      <c r="F31" s="25" t="s">
        <v>75</v>
      </c>
      <c r="G31" s="43"/>
      <c r="H31" s="43"/>
      <c r="I31" s="43">
        <f t="shared" si="0"/>
        <v>0</v>
      </c>
      <c r="J31" s="43"/>
      <c r="K31" s="43">
        <f t="shared" si="1"/>
        <v>0</v>
      </c>
      <c r="L31" s="43"/>
      <c r="M31" s="43"/>
      <c r="N31" s="43"/>
      <c r="O31" s="43">
        <f t="shared" si="12"/>
        <v>0</v>
      </c>
      <c r="P31" s="43">
        <f t="shared" si="13"/>
        <v>0</v>
      </c>
      <c r="Q31" s="43"/>
      <c r="R31" s="44"/>
    </row>
    <row r="32" spans="1:18" ht="39" x14ac:dyDescent="0.25">
      <c r="A32" s="40"/>
      <c r="B32" s="41"/>
      <c r="C32" s="40"/>
      <c r="D32" s="42"/>
      <c r="E32" s="25" t="s">
        <v>26</v>
      </c>
      <c r="F32" s="25" t="s">
        <v>76</v>
      </c>
      <c r="G32" s="43"/>
      <c r="H32" s="43"/>
      <c r="I32" s="43">
        <f t="shared" si="0"/>
        <v>0</v>
      </c>
      <c r="J32" s="43"/>
      <c r="K32" s="43">
        <f t="shared" si="1"/>
        <v>0</v>
      </c>
      <c r="L32" s="43"/>
      <c r="M32" s="43"/>
      <c r="N32" s="43"/>
      <c r="O32" s="43">
        <f t="shared" si="12"/>
        <v>0</v>
      </c>
      <c r="P32" s="43">
        <f t="shared" si="13"/>
        <v>0</v>
      </c>
      <c r="Q32" s="43"/>
      <c r="R32" s="44"/>
    </row>
    <row r="33" spans="1:18" ht="38.25" x14ac:dyDescent="0.25">
      <c r="A33" s="40"/>
      <c r="B33" s="41"/>
      <c r="C33" s="40"/>
      <c r="D33" s="42"/>
      <c r="E33" s="48" t="s">
        <v>34</v>
      </c>
      <c r="F33" s="48" t="s">
        <v>77</v>
      </c>
      <c r="G33" s="43"/>
      <c r="H33" s="43"/>
      <c r="I33" s="43">
        <f t="shared" si="0"/>
        <v>0</v>
      </c>
      <c r="J33" s="43"/>
      <c r="K33" s="43">
        <f t="shared" si="1"/>
        <v>0</v>
      </c>
      <c r="L33" s="43"/>
      <c r="M33" s="43"/>
      <c r="N33" s="43"/>
      <c r="O33" s="43">
        <f t="shared" si="12"/>
        <v>0</v>
      </c>
      <c r="P33" s="43">
        <f t="shared" si="13"/>
        <v>0</v>
      </c>
      <c r="Q33" s="43"/>
      <c r="R33" s="44"/>
    </row>
    <row r="34" spans="1:18" ht="25.5" x14ac:dyDescent="0.25">
      <c r="A34" s="40"/>
      <c r="B34" s="41"/>
      <c r="C34" s="40"/>
      <c r="D34" s="42"/>
      <c r="E34" s="48" t="s">
        <v>34</v>
      </c>
      <c r="F34" s="48" t="s">
        <v>78</v>
      </c>
      <c r="G34" s="43"/>
      <c r="H34" s="43"/>
      <c r="I34" s="43">
        <f t="shared" si="0"/>
        <v>0</v>
      </c>
      <c r="J34" s="43"/>
      <c r="K34" s="43">
        <f t="shared" si="1"/>
        <v>0</v>
      </c>
      <c r="L34" s="43"/>
      <c r="M34" s="43"/>
      <c r="N34" s="43"/>
      <c r="O34" s="43">
        <f t="shared" si="12"/>
        <v>0</v>
      </c>
      <c r="P34" s="43">
        <f t="shared" si="13"/>
        <v>0</v>
      </c>
      <c r="Q34" s="43"/>
      <c r="R34" s="44"/>
    </row>
    <row r="35" spans="1:18" ht="25.5" x14ac:dyDescent="0.25">
      <c r="A35" s="40"/>
      <c r="B35" s="41"/>
      <c r="C35" s="40"/>
      <c r="D35" s="42"/>
      <c r="E35" s="48" t="s">
        <v>34</v>
      </c>
      <c r="F35" s="48" t="s">
        <v>79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</row>
    <row r="36" spans="1:18" ht="26.25" x14ac:dyDescent="0.25">
      <c r="A36" s="40"/>
      <c r="B36" s="41"/>
      <c r="C36" s="40"/>
      <c r="D36" s="42"/>
      <c r="E36" s="25" t="s">
        <v>57</v>
      </c>
      <c r="F36" s="25" t="s">
        <v>80</v>
      </c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4"/>
    </row>
    <row r="37" spans="1:18" ht="64.5" x14ac:dyDescent="0.25">
      <c r="A37" s="38">
        <v>20</v>
      </c>
      <c r="B37" s="45" t="s">
        <v>81</v>
      </c>
      <c r="C37" s="38">
        <v>1</v>
      </c>
      <c r="D37" s="39" t="s">
        <v>60</v>
      </c>
      <c r="E37" s="25" t="s">
        <v>82</v>
      </c>
      <c r="F37" s="25" t="s">
        <v>83</v>
      </c>
      <c r="G37" s="46">
        <f>302.55*4%+302.55</f>
        <v>314.65199999999999</v>
      </c>
      <c r="H37" s="46">
        <f>336.1*4%+336.1</f>
        <v>349.54400000000004</v>
      </c>
      <c r="I37" s="46">
        <f>G37*14</f>
        <v>4405.1279999999997</v>
      </c>
      <c r="J37" s="26">
        <f>469.7*4%+469.7</f>
        <v>488.488</v>
      </c>
      <c r="K37" s="46">
        <f>H37*14</f>
        <v>4893.6160000000009</v>
      </c>
      <c r="L37" s="46">
        <f t="shared" ref="L37:N38" si="14">I37*26</f>
        <v>114533.32799999999</v>
      </c>
      <c r="M37" s="46">
        <f t="shared" si="14"/>
        <v>12700.688</v>
      </c>
      <c r="N37" s="46">
        <f t="shared" si="14"/>
        <v>127234.01600000002</v>
      </c>
      <c r="O37" s="46">
        <f>H37*10*30%*2</f>
        <v>2097.2640000000001</v>
      </c>
      <c r="P37" s="46">
        <f>H37*50</f>
        <v>17477.2</v>
      </c>
      <c r="Q37" s="46">
        <f>N37+O37+P37</f>
        <v>146808.48000000001</v>
      </c>
      <c r="R37" s="47">
        <f>Q37*C37</f>
        <v>146808.48000000001</v>
      </c>
    </row>
    <row r="38" spans="1:18" ht="26.25" x14ac:dyDescent="0.25">
      <c r="A38" s="40">
        <v>19</v>
      </c>
      <c r="B38" s="41" t="s">
        <v>84</v>
      </c>
      <c r="C38" s="40">
        <v>4</v>
      </c>
      <c r="D38" s="42" t="s">
        <v>60</v>
      </c>
      <c r="E38" s="25" t="s">
        <v>61</v>
      </c>
      <c r="F38" s="25" t="s">
        <v>85</v>
      </c>
      <c r="G38" s="43">
        <f>297.29*4%+297.29</f>
        <v>309.1816</v>
      </c>
      <c r="H38" s="43">
        <f>330.84*4%+330.84</f>
        <v>344.0736</v>
      </c>
      <c r="I38" s="43">
        <f>G38*14</f>
        <v>4328.5424000000003</v>
      </c>
      <c r="J38" s="43">
        <v>488.488</v>
      </c>
      <c r="K38" s="43">
        <f>H38*14</f>
        <v>4817.0303999999996</v>
      </c>
      <c r="L38" s="43">
        <f t="shared" si="14"/>
        <v>112542.1024</v>
      </c>
      <c r="M38" s="43">
        <f t="shared" si="14"/>
        <v>12700.688</v>
      </c>
      <c r="N38" s="43">
        <f t="shared" si="14"/>
        <v>125242.7904</v>
      </c>
      <c r="O38" s="43">
        <f>H38*10*30%*2</f>
        <v>2064.4415999999997</v>
      </c>
      <c r="P38" s="43">
        <f>H38*50</f>
        <v>17203.68</v>
      </c>
      <c r="Q38" s="43">
        <f>N38+O38+P38</f>
        <v>144510.91200000001</v>
      </c>
      <c r="R38" s="44">
        <f>Q38*C38</f>
        <v>578043.64800000004</v>
      </c>
    </row>
    <row r="39" spans="1:18" ht="26.25" x14ac:dyDescent="0.25">
      <c r="A39" s="40"/>
      <c r="B39" s="41"/>
      <c r="C39" s="40"/>
      <c r="D39" s="42"/>
      <c r="E39" s="25" t="s">
        <v>61</v>
      </c>
      <c r="F39" s="25" t="s">
        <v>86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4"/>
    </row>
    <row r="40" spans="1:18" ht="51.75" x14ac:dyDescent="0.25">
      <c r="A40" s="40"/>
      <c r="B40" s="41"/>
      <c r="C40" s="40"/>
      <c r="D40" s="42"/>
      <c r="E40" s="25" t="s">
        <v>61</v>
      </c>
      <c r="F40" s="25" t="s">
        <v>87</v>
      </c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4"/>
    </row>
    <row r="41" spans="1:18" ht="26.25" x14ac:dyDescent="0.25">
      <c r="A41" s="40"/>
      <c r="B41" s="41"/>
      <c r="C41" s="40"/>
      <c r="D41" s="42"/>
      <c r="E41" s="25" t="s">
        <v>61</v>
      </c>
      <c r="F41" s="25" t="s">
        <v>88</v>
      </c>
      <c r="G41" s="43"/>
      <c r="H41" s="43"/>
      <c r="I41" s="43">
        <f>G41*14</f>
        <v>0</v>
      </c>
      <c r="J41" s="43"/>
      <c r="K41" s="43">
        <f>H41*14</f>
        <v>0</v>
      </c>
      <c r="L41" s="43"/>
      <c r="M41" s="43"/>
      <c r="N41" s="43"/>
      <c r="O41" s="43">
        <f>H41*10*30%*2</f>
        <v>0</v>
      </c>
      <c r="P41" s="43">
        <f>H41*50</f>
        <v>0</v>
      </c>
      <c r="Q41" s="43"/>
      <c r="R41" s="44"/>
    </row>
    <row r="42" spans="1:18" ht="39" x14ac:dyDescent="0.25">
      <c r="A42" s="40">
        <v>18</v>
      </c>
      <c r="B42" s="41" t="s">
        <v>89</v>
      </c>
      <c r="C42" s="40">
        <v>4</v>
      </c>
      <c r="D42" s="42" t="s">
        <v>60</v>
      </c>
      <c r="E42" s="25" t="s">
        <v>26</v>
      </c>
      <c r="F42" s="25" t="s">
        <v>90</v>
      </c>
      <c r="G42" s="49">
        <f>284.6*4%+284.6</f>
        <v>295.98400000000004</v>
      </c>
      <c r="H42" s="49">
        <f>318.15*4%+318.15</f>
        <v>330.87599999999998</v>
      </c>
      <c r="I42" s="49">
        <f>G42*14</f>
        <v>4143.7760000000007</v>
      </c>
      <c r="J42" s="43">
        <v>488.488</v>
      </c>
      <c r="K42" s="49">
        <f>H42*14</f>
        <v>4632.2639999999992</v>
      </c>
      <c r="L42" s="49">
        <f>I42*26</f>
        <v>107738.17600000002</v>
      </c>
      <c r="M42" s="49">
        <f>J42*26</f>
        <v>12700.688</v>
      </c>
      <c r="N42" s="49">
        <f>K42*26</f>
        <v>120438.86399999997</v>
      </c>
      <c r="O42" s="49">
        <f>H42*10*30%*2</f>
        <v>1985.2559999999999</v>
      </c>
      <c r="P42" s="49">
        <f>H42*50</f>
        <v>16543.8</v>
      </c>
      <c r="Q42" s="49">
        <f>N42+O42+P42</f>
        <v>138967.91999999995</v>
      </c>
      <c r="R42" s="49">
        <f>Q42*4</f>
        <v>555871.67999999982</v>
      </c>
    </row>
    <row r="43" spans="1:18" ht="39" x14ac:dyDescent="0.25">
      <c r="A43" s="40"/>
      <c r="B43" s="41"/>
      <c r="C43" s="40"/>
      <c r="D43" s="42"/>
      <c r="E43" s="25" t="s">
        <v>47</v>
      </c>
      <c r="F43" s="25" t="s">
        <v>91</v>
      </c>
      <c r="G43" s="49"/>
      <c r="H43" s="49"/>
      <c r="I43" s="49"/>
      <c r="J43" s="43"/>
      <c r="K43" s="49"/>
      <c r="L43" s="49"/>
      <c r="M43" s="49"/>
      <c r="N43" s="49"/>
      <c r="O43" s="49"/>
      <c r="P43" s="49"/>
      <c r="Q43" s="49"/>
      <c r="R43" s="49"/>
    </row>
    <row r="44" spans="1:18" ht="39" x14ac:dyDescent="0.25">
      <c r="A44" s="40"/>
      <c r="B44" s="41"/>
      <c r="C44" s="40"/>
      <c r="D44" s="42"/>
      <c r="E44" s="25" t="s">
        <v>26</v>
      </c>
      <c r="F44" s="25" t="s">
        <v>92</v>
      </c>
      <c r="G44" s="49"/>
      <c r="H44" s="49"/>
      <c r="I44" s="49"/>
      <c r="J44" s="43"/>
      <c r="K44" s="49"/>
      <c r="L44" s="49"/>
      <c r="M44" s="49"/>
      <c r="N44" s="49"/>
      <c r="O44" s="49"/>
      <c r="P44" s="49"/>
      <c r="Q44" s="49"/>
      <c r="R44" s="49"/>
    </row>
    <row r="45" spans="1:18" ht="39" x14ac:dyDescent="0.25">
      <c r="A45" s="40"/>
      <c r="B45" s="41"/>
      <c r="C45" s="40"/>
      <c r="D45" s="42"/>
      <c r="E45" s="25" t="s">
        <v>26</v>
      </c>
      <c r="F45" s="25" t="s">
        <v>93</v>
      </c>
      <c r="G45" s="49"/>
      <c r="H45" s="49"/>
      <c r="I45" s="49"/>
      <c r="J45" s="43"/>
      <c r="K45" s="49"/>
      <c r="L45" s="49"/>
      <c r="M45" s="49"/>
      <c r="N45" s="49"/>
      <c r="O45" s="49"/>
      <c r="P45" s="49"/>
      <c r="Q45" s="49"/>
      <c r="R45" s="49"/>
    </row>
    <row r="46" spans="1:18" ht="64.5" x14ac:dyDescent="0.25">
      <c r="A46" s="40">
        <v>17</v>
      </c>
      <c r="B46" s="41" t="s">
        <v>94</v>
      </c>
      <c r="C46" s="40">
        <v>8</v>
      </c>
      <c r="D46" s="42" t="s">
        <v>60</v>
      </c>
      <c r="E46" s="50" t="s">
        <v>50</v>
      </c>
      <c r="F46" s="50" t="s">
        <v>95</v>
      </c>
      <c r="G46" s="43">
        <f>283.78*4%+283.78</f>
        <v>295.13119999999998</v>
      </c>
      <c r="H46" s="43">
        <f>317.33*4%+317.33</f>
        <v>330.02319999999997</v>
      </c>
      <c r="I46" s="43">
        <f t="shared" ref="I46:I55" si="15">G46*14</f>
        <v>4131.8368</v>
      </c>
      <c r="J46" s="43">
        <v>488.488</v>
      </c>
      <c r="K46" s="43">
        <f t="shared" ref="K46:K55" si="16">H46*14</f>
        <v>4620.3247999999994</v>
      </c>
      <c r="L46" s="43">
        <f>I46*26</f>
        <v>107427.7568</v>
      </c>
      <c r="M46" s="43">
        <f>J46*26</f>
        <v>12700.688</v>
      </c>
      <c r="N46" s="43">
        <f>K46*26</f>
        <v>120128.44479999998</v>
      </c>
      <c r="O46" s="43">
        <f t="shared" ref="O46:O55" si="17">H46*10*30%*2</f>
        <v>1980.1391999999998</v>
      </c>
      <c r="P46" s="43">
        <f t="shared" ref="P46:P55" si="18">H46*50</f>
        <v>16501.16</v>
      </c>
      <c r="Q46" s="43">
        <f>N46+O46+P46</f>
        <v>138609.74399999998</v>
      </c>
      <c r="R46" s="44">
        <f>Q46*C46</f>
        <v>1108877.9519999998</v>
      </c>
    </row>
    <row r="47" spans="1:18" ht="64.5" x14ac:dyDescent="0.25">
      <c r="A47" s="40"/>
      <c r="B47" s="41"/>
      <c r="C47" s="40"/>
      <c r="D47" s="42"/>
      <c r="E47" s="25" t="s">
        <v>29</v>
      </c>
      <c r="F47" s="25" t="s">
        <v>96</v>
      </c>
      <c r="G47" s="43"/>
      <c r="H47" s="43"/>
      <c r="I47" s="43">
        <f t="shared" si="15"/>
        <v>0</v>
      </c>
      <c r="J47" s="43"/>
      <c r="K47" s="43">
        <f t="shared" si="16"/>
        <v>0</v>
      </c>
      <c r="L47" s="43"/>
      <c r="M47" s="43"/>
      <c r="N47" s="43"/>
      <c r="O47" s="43">
        <f t="shared" si="17"/>
        <v>0</v>
      </c>
      <c r="P47" s="43">
        <f t="shared" si="18"/>
        <v>0</v>
      </c>
      <c r="Q47" s="43"/>
      <c r="R47" s="44"/>
    </row>
    <row r="48" spans="1:18" ht="39" x14ac:dyDescent="0.25">
      <c r="A48" s="40"/>
      <c r="B48" s="41"/>
      <c r="C48" s="40"/>
      <c r="D48" s="42"/>
      <c r="E48" s="25" t="s">
        <v>47</v>
      </c>
      <c r="F48" s="25" t="s">
        <v>97</v>
      </c>
      <c r="G48" s="43"/>
      <c r="H48" s="43"/>
      <c r="I48" s="43">
        <f t="shared" si="15"/>
        <v>0</v>
      </c>
      <c r="J48" s="43"/>
      <c r="K48" s="43">
        <f t="shared" si="16"/>
        <v>0</v>
      </c>
      <c r="L48" s="43"/>
      <c r="M48" s="43"/>
      <c r="N48" s="43"/>
      <c r="O48" s="43">
        <f t="shared" si="17"/>
        <v>0</v>
      </c>
      <c r="P48" s="43">
        <f t="shared" si="18"/>
        <v>0</v>
      </c>
      <c r="Q48" s="43"/>
      <c r="R48" s="44"/>
    </row>
    <row r="49" spans="1:18" ht="26.25" x14ac:dyDescent="0.25">
      <c r="A49" s="40"/>
      <c r="B49" s="41"/>
      <c r="C49" s="40"/>
      <c r="D49" s="42"/>
      <c r="E49" s="25" t="s">
        <v>47</v>
      </c>
      <c r="F49" s="25" t="s">
        <v>98</v>
      </c>
      <c r="G49" s="43"/>
      <c r="H49" s="43"/>
      <c r="I49" s="43">
        <f t="shared" si="15"/>
        <v>0</v>
      </c>
      <c r="J49" s="43"/>
      <c r="K49" s="43">
        <f t="shared" si="16"/>
        <v>0</v>
      </c>
      <c r="L49" s="43"/>
      <c r="M49" s="43"/>
      <c r="N49" s="43"/>
      <c r="O49" s="43">
        <f t="shared" si="17"/>
        <v>0</v>
      </c>
      <c r="P49" s="43">
        <f t="shared" si="18"/>
        <v>0</v>
      </c>
      <c r="Q49" s="43"/>
      <c r="R49" s="44"/>
    </row>
    <row r="50" spans="1:18" ht="51.75" x14ac:dyDescent="0.25">
      <c r="A50" s="40"/>
      <c r="B50" s="41"/>
      <c r="C50" s="40"/>
      <c r="D50" s="42"/>
      <c r="E50" s="25" t="s">
        <v>47</v>
      </c>
      <c r="F50" s="25" t="s">
        <v>99</v>
      </c>
      <c r="G50" s="43"/>
      <c r="H50" s="43"/>
      <c r="I50" s="43">
        <f t="shared" si="15"/>
        <v>0</v>
      </c>
      <c r="J50" s="43"/>
      <c r="K50" s="43">
        <f t="shared" si="16"/>
        <v>0</v>
      </c>
      <c r="L50" s="43"/>
      <c r="M50" s="43"/>
      <c r="N50" s="43"/>
      <c r="O50" s="43">
        <f t="shared" si="17"/>
        <v>0</v>
      </c>
      <c r="P50" s="43">
        <f t="shared" si="18"/>
        <v>0</v>
      </c>
      <c r="Q50" s="43"/>
      <c r="R50" s="44"/>
    </row>
    <row r="51" spans="1:18" ht="39" x14ac:dyDescent="0.25">
      <c r="A51" s="40"/>
      <c r="B51" s="41"/>
      <c r="C51" s="40"/>
      <c r="D51" s="42"/>
      <c r="E51" s="25" t="s">
        <v>47</v>
      </c>
      <c r="F51" s="25" t="s">
        <v>100</v>
      </c>
      <c r="G51" s="43"/>
      <c r="H51" s="43"/>
      <c r="I51" s="43">
        <f t="shared" si="15"/>
        <v>0</v>
      </c>
      <c r="J51" s="43"/>
      <c r="K51" s="43">
        <f t="shared" si="16"/>
        <v>0</v>
      </c>
      <c r="L51" s="43"/>
      <c r="M51" s="43"/>
      <c r="N51" s="43"/>
      <c r="O51" s="43">
        <f t="shared" si="17"/>
        <v>0</v>
      </c>
      <c r="P51" s="43">
        <f t="shared" si="18"/>
        <v>0</v>
      </c>
      <c r="Q51" s="43"/>
      <c r="R51" s="44"/>
    </row>
    <row r="52" spans="1:18" ht="39" x14ac:dyDescent="0.25">
      <c r="A52" s="40"/>
      <c r="B52" s="41"/>
      <c r="C52" s="40"/>
      <c r="D52" s="42"/>
      <c r="E52" s="25" t="s">
        <v>38</v>
      </c>
      <c r="F52" s="25" t="s">
        <v>101</v>
      </c>
      <c r="G52" s="43"/>
      <c r="H52" s="43"/>
      <c r="I52" s="43">
        <f t="shared" si="15"/>
        <v>0</v>
      </c>
      <c r="J52" s="43"/>
      <c r="K52" s="43">
        <f t="shared" si="16"/>
        <v>0</v>
      </c>
      <c r="L52" s="43"/>
      <c r="M52" s="43"/>
      <c r="N52" s="43"/>
      <c r="O52" s="43">
        <f t="shared" si="17"/>
        <v>0</v>
      </c>
      <c r="P52" s="43">
        <f t="shared" si="18"/>
        <v>0</v>
      </c>
      <c r="Q52" s="43"/>
      <c r="R52" s="44"/>
    </row>
    <row r="53" spans="1:18" ht="39" x14ac:dyDescent="0.25">
      <c r="A53" s="40"/>
      <c r="B53" s="41"/>
      <c r="C53" s="40"/>
      <c r="D53" s="42"/>
      <c r="E53" s="25" t="s">
        <v>38</v>
      </c>
      <c r="F53" s="25" t="s">
        <v>102</v>
      </c>
      <c r="G53" s="43"/>
      <c r="H53" s="43"/>
      <c r="I53" s="43">
        <f t="shared" si="15"/>
        <v>0</v>
      </c>
      <c r="J53" s="43"/>
      <c r="K53" s="43">
        <f t="shared" si="16"/>
        <v>0</v>
      </c>
      <c r="L53" s="43"/>
      <c r="M53" s="43"/>
      <c r="N53" s="43"/>
      <c r="O53" s="43">
        <f t="shared" si="17"/>
        <v>0</v>
      </c>
      <c r="P53" s="43">
        <f t="shared" si="18"/>
        <v>0</v>
      </c>
      <c r="Q53" s="43"/>
      <c r="R53" s="44"/>
    </row>
    <row r="54" spans="1:18" ht="64.5" x14ac:dyDescent="0.25">
      <c r="A54" s="38">
        <v>16</v>
      </c>
      <c r="B54" s="45" t="s">
        <v>103</v>
      </c>
      <c r="C54" s="38">
        <v>1</v>
      </c>
      <c r="D54" s="39" t="s">
        <v>60</v>
      </c>
      <c r="E54" s="25" t="s">
        <v>82</v>
      </c>
      <c r="F54" s="25" t="s">
        <v>104</v>
      </c>
      <c r="G54" s="46">
        <f>283.78*4%+283.78</f>
        <v>295.13119999999998</v>
      </c>
      <c r="H54" s="46">
        <f>317.33*4%+317.33</f>
        <v>330.02319999999997</v>
      </c>
      <c r="I54" s="46">
        <f t="shared" si="15"/>
        <v>4131.8368</v>
      </c>
      <c r="J54" s="26">
        <f>469.7*4%+469.7</f>
        <v>488.488</v>
      </c>
      <c r="K54" s="46">
        <f t="shared" si="16"/>
        <v>4620.3247999999994</v>
      </c>
      <c r="L54" s="46">
        <f t="shared" ref="L54:N55" si="19">I54*26</f>
        <v>107427.7568</v>
      </c>
      <c r="M54" s="46">
        <f t="shared" si="19"/>
        <v>12700.688</v>
      </c>
      <c r="N54" s="46">
        <f t="shared" si="19"/>
        <v>120128.44479999998</v>
      </c>
      <c r="O54" s="46">
        <f t="shared" si="17"/>
        <v>1980.1391999999998</v>
      </c>
      <c r="P54" s="46">
        <f t="shared" si="18"/>
        <v>16501.16</v>
      </c>
      <c r="Q54" s="46">
        <f>N54+O54+P54</f>
        <v>138609.74399999998</v>
      </c>
      <c r="R54" s="47">
        <f>Q54*C54</f>
        <v>138609.74399999998</v>
      </c>
    </row>
    <row r="55" spans="1:18" ht="39" x14ac:dyDescent="0.25">
      <c r="A55" s="40">
        <v>15</v>
      </c>
      <c r="B55" s="41" t="s">
        <v>105</v>
      </c>
      <c r="C55" s="40">
        <v>3</v>
      </c>
      <c r="D55" s="42" t="s">
        <v>60</v>
      </c>
      <c r="E55" s="25" t="s">
        <v>106</v>
      </c>
      <c r="F55" s="25" t="s">
        <v>107</v>
      </c>
      <c r="G55" s="43">
        <f>277.33*4%+277.33</f>
        <v>288.42320000000001</v>
      </c>
      <c r="H55" s="43">
        <f>310.88*4%+310.88</f>
        <v>323.3152</v>
      </c>
      <c r="I55" s="43">
        <f t="shared" si="15"/>
        <v>4037.9248000000002</v>
      </c>
      <c r="J55" s="26">
        <f>469.7*4%+469.7</f>
        <v>488.488</v>
      </c>
      <c r="K55" s="43">
        <f t="shared" si="16"/>
        <v>4526.4128000000001</v>
      </c>
      <c r="L55" s="43">
        <f t="shared" si="19"/>
        <v>104986.0448</v>
      </c>
      <c r="M55" s="43">
        <f t="shared" si="19"/>
        <v>12700.688</v>
      </c>
      <c r="N55" s="43">
        <f t="shared" si="19"/>
        <v>117686.7328</v>
      </c>
      <c r="O55" s="43">
        <f t="shared" si="17"/>
        <v>1939.8912</v>
      </c>
      <c r="P55" s="43">
        <f t="shared" si="18"/>
        <v>16165.76</v>
      </c>
      <c r="Q55" s="43">
        <f>N55+O55+P55</f>
        <v>135792.38399999999</v>
      </c>
      <c r="R55" s="44">
        <f>Q55*C55</f>
        <v>407377.152</v>
      </c>
    </row>
    <row r="56" spans="1:18" ht="39" x14ac:dyDescent="0.25">
      <c r="A56" s="40"/>
      <c r="B56" s="41"/>
      <c r="C56" s="40"/>
      <c r="D56" s="42"/>
      <c r="E56" s="25" t="s">
        <v>106</v>
      </c>
      <c r="F56" s="25" t="s">
        <v>108</v>
      </c>
      <c r="G56" s="43"/>
      <c r="H56" s="43"/>
      <c r="I56" s="43"/>
      <c r="J56" s="26">
        <f>469.7*4%+469.7</f>
        <v>488.488</v>
      </c>
      <c r="K56" s="43"/>
      <c r="L56" s="43"/>
      <c r="M56" s="43"/>
      <c r="N56" s="43"/>
      <c r="O56" s="43"/>
      <c r="P56" s="43"/>
      <c r="Q56" s="43"/>
      <c r="R56" s="44"/>
    </row>
    <row r="57" spans="1:18" ht="26.25" x14ac:dyDescent="0.25">
      <c r="A57" s="40"/>
      <c r="B57" s="41"/>
      <c r="C57" s="40"/>
      <c r="D57" s="42"/>
      <c r="E57" s="25" t="s">
        <v>106</v>
      </c>
      <c r="F57" s="25" t="s">
        <v>109</v>
      </c>
      <c r="G57" s="43"/>
      <c r="H57" s="43"/>
      <c r="I57" s="43">
        <f>G57*14</f>
        <v>0</v>
      </c>
      <c r="J57" s="26">
        <f>469.7*4%+469.7</f>
        <v>488.488</v>
      </c>
      <c r="K57" s="43">
        <f>H57*14</f>
        <v>0</v>
      </c>
      <c r="L57" s="43"/>
      <c r="M57" s="43"/>
      <c r="N57" s="43"/>
      <c r="O57" s="43">
        <f>H57*10*30%*2</f>
        <v>0</v>
      </c>
      <c r="P57" s="43">
        <f>H57*50</f>
        <v>0</v>
      </c>
      <c r="Q57" s="43"/>
      <c r="R57" s="44"/>
    </row>
    <row r="58" spans="1:18" ht="39" x14ac:dyDescent="0.25">
      <c r="A58" s="38">
        <v>14</v>
      </c>
      <c r="B58" s="45" t="s">
        <v>110</v>
      </c>
      <c r="C58" s="38">
        <v>1</v>
      </c>
      <c r="D58" s="39" t="s">
        <v>60</v>
      </c>
      <c r="E58" s="25" t="s">
        <v>26</v>
      </c>
      <c r="F58" s="25" t="s">
        <v>111</v>
      </c>
      <c r="G58" s="46">
        <f>277.33*4%+277.33</f>
        <v>288.42320000000001</v>
      </c>
      <c r="H58" s="46">
        <f>310.88*4%+310.88</f>
        <v>323.3152</v>
      </c>
      <c r="I58" s="51">
        <f>G58*14</f>
        <v>4037.9248000000002</v>
      </c>
      <c r="J58" s="26">
        <f>469.7*4%+469.7</f>
        <v>488.488</v>
      </c>
      <c r="K58" s="46">
        <f>H58*14</f>
        <v>4526.4128000000001</v>
      </c>
      <c r="L58" s="46">
        <f>I58*26</f>
        <v>104986.0448</v>
      </c>
      <c r="M58" s="46">
        <f>J55*26</f>
        <v>12700.688</v>
      </c>
      <c r="N58" s="46">
        <f>K55*26</f>
        <v>117686.7328</v>
      </c>
      <c r="O58" s="46">
        <f>H58*10*30%*2</f>
        <v>1939.8912</v>
      </c>
      <c r="P58" s="46">
        <f>H58*50</f>
        <v>16165.76</v>
      </c>
      <c r="Q58" s="46">
        <f>N55+O55+P55</f>
        <v>135792.38399999999</v>
      </c>
      <c r="R58" s="47">
        <f>Q58*C58</f>
        <v>135792.38399999999</v>
      </c>
    </row>
    <row r="59" spans="1:18" ht="39" x14ac:dyDescent="0.25">
      <c r="A59" s="40">
        <v>13</v>
      </c>
      <c r="B59" s="41" t="s">
        <v>112</v>
      </c>
      <c r="C59" s="40">
        <v>3</v>
      </c>
      <c r="D59" s="42" t="s">
        <v>60</v>
      </c>
      <c r="E59" s="25" t="s">
        <v>34</v>
      </c>
      <c r="F59" s="25" t="s">
        <v>113</v>
      </c>
      <c r="G59" s="49">
        <f>254.04*4%+254.04</f>
        <v>264.20159999999998</v>
      </c>
      <c r="H59" s="49">
        <f>287.59*4%+287.59</f>
        <v>299.09359999999998</v>
      </c>
      <c r="I59" s="49">
        <f>G59*14</f>
        <v>3698.8224</v>
      </c>
      <c r="J59" s="49">
        <v>488.488</v>
      </c>
      <c r="K59" s="49">
        <f>H59*14</f>
        <v>4187.3103999999994</v>
      </c>
      <c r="L59" s="49">
        <f>I59*26</f>
        <v>96169.382400000002</v>
      </c>
      <c r="M59" s="49">
        <f>J59*26</f>
        <v>12700.688</v>
      </c>
      <c r="N59" s="49">
        <f>K59*26</f>
        <v>108870.07039999998</v>
      </c>
      <c r="O59" s="49">
        <f>H59*10*30%*2</f>
        <v>1794.5615999999998</v>
      </c>
      <c r="P59" s="49">
        <f>H59*50</f>
        <v>14954.679999999998</v>
      </c>
      <c r="Q59" s="49">
        <f>N59+O59+P59</f>
        <v>125619.31199999998</v>
      </c>
      <c r="R59" s="49">
        <f>Q59*C59</f>
        <v>376857.93599999993</v>
      </c>
    </row>
    <row r="60" spans="1:18" ht="64.5" x14ac:dyDescent="0.25">
      <c r="A60" s="40"/>
      <c r="B60" s="41"/>
      <c r="C60" s="40"/>
      <c r="D60" s="42"/>
      <c r="E60" s="25" t="s">
        <v>29</v>
      </c>
      <c r="F60" s="25" t="s">
        <v>114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</row>
    <row r="61" spans="1:18" ht="26.25" x14ac:dyDescent="0.25">
      <c r="A61" s="40"/>
      <c r="B61" s="41"/>
      <c r="C61" s="40"/>
      <c r="D61" s="42"/>
      <c r="E61" s="25" t="s">
        <v>57</v>
      </c>
      <c r="F61" s="25" t="s">
        <v>115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</row>
    <row r="62" spans="1:18" ht="39" x14ac:dyDescent="0.25">
      <c r="A62" s="40">
        <v>12</v>
      </c>
      <c r="B62" s="41" t="s">
        <v>116</v>
      </c>
      <c r="C62" s="40">
        <v>4</v>
      </c>
      <c r="D62" s="42" t="s">
        <v>60</v>
      </c>
      <c r="E62" s="25" t="s">
        <v>23</v>
      </c>
      <c r="F62" s="25" t="s">
        <v>117</v>
      </c>
      <c r="G62" s="49">
        <f>254.04*4%+254.04</f>
        <v>264.20159999999998</v>
      </c>
      <c r="H62" s="49">
        <f>287.59*4%+287.59</f>
        <v>299.09359999999998</v>
      </c>
      <c r="I62" s="49">
        <f>G62*14</f>
        <v>3698.8224</v>
      </c>
      <c r="J62" s="49">
        <v>488.488</v>
      </c>
      <c r="K62" s="49">
        <f>H62*14</f>
        <v>4187.3103999999994</v>
      </c>
      <c r="L62" s="49">
        <f>I62*26</f>
        <v>96169.382400000002</v>
      </c>
      <c r="M62" s="49">
        <f>J62*26</f>
        <v>12700.688</v>
      </c>
      <c r="N62" s="49">
        <f>K62*26</f>
        <v>108870.07039999998</v>
      </c>
      <c r="O62" s="49">
        <f>H62*10*30%*2/26*26</f>
        <v>1794.5615999999998</v>
      </c>
      <c r="P62" s="49">
        <f>H62*50/26*26</f>
        <v>14954.679999999998</v>
      </c>
      <c r="Q62" s="49">
        <f>N62+O62+P62</f>
        <v>125619.31199999998</v>
      </c>
      <c r="R62" s="49">
        <f>Q62*C62</f>
        <v>502477.24799999991</v>
      </c>
    </row>
    <row r="63" spans="1:18" ht="64.5" x14ac:dyDescent="0.25">
      <c r="A63" s="40"/>
      <c r="B63" s="41"/>
      <c r="C63" s="40"/>
      <c r="D63" s="42"/>
      <c r="E63" s="25" t="s">
        <v>29</v>
      </c>
      <c r="F63" s="25" t="s">
        <v>118</v>
      </c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</row>
    <row r="64" spans="1:18" ht="26.25" x14ac:dyDescent="0.25">
      <c r="A64" s="40"/>
      <c r="B64" s="41"/>
      <c r="C64" s="40"/>
      <c r="D64" s="42"/>
      <c r="E64" s="25" t="s">
        <v>119</v>
      </c>
      <c r="F64" s="25" t="s">
        <v>120</v>
      </c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</row>
    <row r="65" spans="1:18" ht="26.25" x14ac:dyDescent="0.25">
      <c r="A65" s="40"/>
      <c r="B65" s="41"/>
      <c r="C65" s="40"/>
      <c r="D65" s="42"/>
      <c r="E65" s="25" t="s">
        <v>121</v>
      </c>
      <c r="F65" s="25" t="s">
        <v>122</v>
      </c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</row>
    <row r="66" spans="1:18" ht="39" x14ac:dyDescent="0.25">
      <c r="A66" s="40">
        <v>11</v>
      </c>
      <c r="B66" s="41" t="s">
        <v>123</v>
      </c>
      <c r="C66" s="40">
        <v>3</v>
      </c>
      <c r="D66" s="42" t="s">
        <v>60</v>
      </c>
      <c r="E66" s="25" t="s">
        <v>26</v>
      </c>
      <c r="F66" s="25" t="s">
        <v>124</v>
      </c>
      <c r="G66" s="49">
        <f>254.04*4%+254.04</f>
        <v>264.20159999999998</v>
      </c>
      <c r="H66" s="49">
        <f>287.59*4%+287.59</f>
        <v>299.09359999999998</v>
      </c>
      <c r="I66" s="49">
        <f>G66*14</f>
        <v>3698.8224</v>
      </c>
      <c r="J66" s="49">
        <v>488.488</v>
      </c>
      <c r="K66" s="49">
        <f>I66+J66</f>
        <v>4187.3104000000003</v>
      </c>
      <c r="L66" s="49">
        <f>I66*26</f>
        <v>96169.382400000002</v>
      </c>
      <c r="M66" s="49">
        <f>J66*26</f>
        <v>12700.688</v>
      </c>
      <c r="N66" s="49">
        <f>K66*26</f>
        <v>108870.07040000001</v>
      </c>
      <c r="O66" s="49">
        <f>H62*10*30%*2/26*26</f>
        <v>1794.5615999999998</v>
      </c>
      <c r="P66" s="49">
        <f>H66*50/26*26</f>
        <v>14954.679999999998</v>
      </c>
      <c r="Q66" s="49">
        <f>N66+O66+P66</f>
        <v>125619.31200000001</v>
      </c>
      <c r="R66" s="49">
        <f>Q66*C66</f>
        <v>376857.93599999999</v>
      </c>
    </row>
    <row r="67" spans="1:18" ht="39" x14ac:dyDescent="0.25">
      <c r="A67" s="40"/>
      <c r="B67" s="41"/>
      <c r="C67" s="40"/>
      <c r="D67" s="42"/>
      <c r="E67" s="25" t="s">
        <v>57</v>
      </c>
      <c r="F67" s="25" t="s">
        <v>125</v>
      </c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</row>
    <row r="68" spans="1:18" ht="39" x14ac:dyDescent="0.25">
      <c r="A68" s="40"/>
      <c r="B68" s="41"/>
      <c r="C68" s="40"/>
      <c r="D68" s="42"/>
      <c r="E68" s="25" t="s">
        <v>26</v>
      </c>
      <c r="F68" s="25" t="s">
        <v>126</v>
      </c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</row>
    <row r="69" spans="1:18" ht="39" x14ac:dyDescent="0.25">
      <c r="A69" s="40">
        <v>10</v>
      </c>
      <c r="B69" s="41" t="s">
        <v>127</v>
      </c>
      <c r="C69" s="40">
        <v>2</v>
      </c>
      <c r="D69" s="42" t="s">
        <v>60</v>
      </c>
      <c r="E69" s="25" t="s">
        <v>26</v>
      </c>
      <c r="F69" s="25" t="s">
        <v>128</v>
      </c>
      <c r="G69" s="49">
        <f>254.04*4%+254.04</f>
        <v>264.20159999999998</v>
      </c>
      <c r="H69" s="49">
        <f>287.59*4%+287.59</f>
        <v>299.09359999999998</v>
      </c>
      <c r="I69" s="49">
        <f>G69*14</f>
        <v>3698.8224</v>
      </c>
      <c r="J69" s="49">
        <v>488.488</v>
      </c>
      <c r="K69" s="49">
        <f>I69+J69</f>
        <v>4187.3104000000003</v>
      </c>
      <c r="L69" s="49">
        <f>I69*26</f>
        <v>96169.382400000002</v>
      </c>
      <c r="M69" s="49">
        <f>J69*26</f>
        <v>12700.688</v>
      </c>
      <c r="N69" s="49">
        <f>K69*26</f>
        <v>108870.07040000001</v>
      </c>
      <c r="O69" s="49">
        <f>H69*10*30%*2/26*26</f>
        <v>1794.5615999999998</v>
      </c>
      <c r="P69" s="49">
        <f>H69*50/26*26</f>
        <v>14954.679999999998</v>
      </c>
      <c r="Q69" s="49">
        <f>N69+O69+P69</f>
        <v>125619.31200000001</v>
      </c>
      <c r="R69" s="49">
        <f>Q69*C69</f>
        <v>251238.62400000001</v>
      </c>
    </row>
    <row r="70" spans="1:18" ht="39" x14ac:dyDescent="0.25">
      <c r="A70" s="40"/>
      <c r="B70" s="41"/>
      <c r="C70" s="40"/>
      <c r="D70" s="42"/>
      <c r="E70" s="25" t="s">
        <v>26</v>
      </c>
      <c r="F70" s="25" t="s">
        <v>129</v>
      </c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</row>
    <row r="71" spans="1:18" ht="51.75" x14ac:dyDescent="0.25">
      <c r="A71" s="40">
        <v>9</v>
      </c>
      <c r="B71" s="41" t="s">
        <v>130</v>
      </c>
      <c r="C71" s="40">
        <v>7</v>
      </c>
      <c r="D71" s="42" t="s">
        <v>60</v>
      </c>
      <c r="E71" s="25" t="s">
        <v>44</v>
      </c>
      <c r="F71" s="25" t="s">
        <v>131</v>
      </c>
      <c r="G71" s="49">
        <f>254.04*4%+254.04</f>
        <v>264.20159999999998</v>
      </c>
      <c r="H71" s="49">
        <f>287.59*4%+287.59</f>
        <v>299.09359999999998</v>
      </c>
      <c r="I71" s="49">
        <f>G71*14</f>
        <v>3698.8224</v>
      </c>
      <c r="J71" s="49">
        <v>488.488</v>
      </c>
      <c r="K71" s="49">
        <f>I71+J71</f>
        <v>4187.3104000000003</v>
      </c>
      <c r="L71" s="49">
        <f>I71*26</f>
        <v>96169.382400000002</v>
      </c>
      <c r="M71" s="49">
        <f>J71*26</f>
        <v>12700.688</v>
      </c>
      <c r="N71" s="49">
        <f>L71+M71</f>
        <v>108870.0704</v>
      </c>
      <c r="O71" s="49">
        <f>H71*10*30%*2/26*26</f>
        <v>1794.5615999999998</v>
      </c>
      <c r="P71" s="49">
        <f>H71*50/26*26</f>
        <v>14954.679999999998</v>
      </c>
      <c r="Q71" s="49">
        <f>N71+O71+P71</f>
        <v>125619.31199999999</v>
      </c>
      <c r="R71" s="49">
        <f>C71*Q71</f>
        <v>879335.18399999989</v>
      </c>
    </row>
    <row r="72" spans="1:18" ht="51.75" x14ac:dyDescent="0.25">
      <c r="A72" s="40"/>
      <c r="B72" s="41"/>
      <c r="C72" s="40"/>
      <c r="D72" s="42"/>
      <c r="E72" s="25" t="s">
        <v>44</v>
      </c>
      <c r="F72" s="25" t="s">
        <v>132</v>
      </c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</row>
    <row r="73" spans="1:18" ht="51.75" x14ac:dyDescent="0.25">
      <c r="A73" s="40"/>
      <c r="B73" s="41"/>
      <c r="C73" s="40"/>
      <c r="D73" s="42"/>
      <c r="E73" s="25" t="s">
        <v>44</v>
      </c>
      <c r="F73" s="25" t="s">
        <v>133</v>
      </c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</row>
    <row r="74" spans="1:18" ht="51.75" x14ac:dyDescent="0.25">
      <c r="A74" s="40"/>
      <c r="B74" s="41"/>
      <c r="C74" s="40"/>
      <c r="D74" s="42"/>
      <c r="E74" s="25" t="s">
        <v>44</v>
      </c>
      <c r="F74" s="25" t="s">
        <v>134</v>
      </c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</row>
    <row r="75" spans="1:18" ht="51.75" x14ac:dyDescent="0.25">
      <c r="A75" s="40"/>
      <c r="B75" s="41"/>
      <c r="C75" s="40"/>
      <c r="D75" s="42"/>
      <c r="E75" s="25" t="s">
        <v>44</v>
      </c>
      <c r="F75" s="25" t="s">
        <v>135</v>
      </c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</row>
    <row r="76" spans="1:18" ht="51.75" x14ac:dyDescent="0.25">
      <c r="A76" s="40"/>
      <c r="B76" s="41"/>
      <c r="C76" s="40"/>
      <c r="D76" s="42"/>
      <c r="E76" s="25" t="s">
        <v>44</v>
      </c>
      <c r="F76" s="25" t="s">
        <v>136</v>
      </c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</row>
    <row r="77" spans="1:18" ht="51.75" x14ac:dyDescent="0.25">
      <c r="A77" s="40"/>
      <c r="B77" s="41"/>
      <c r="C77" s="40"/>
      <c r="D77" s="42"/>
      <c r="E77" s="25" t="s">
        <v>44</v>
      </c>
      <c r="F77" s="25" t="s">
        <v>137</v>
      </c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</row>
    <row r="78" spans="1:18" ht="51.75" x14ac:dyDescent="0.25">
      <c r="A78" s="38">
        <v>2</v>
      </c>
      <c r="B78" s="45" t="s">
        <v>138</v>
      </c>
      <c r="C78" s="38">
        <v>1</v>
      </c>
      <c r="D78" s="39" t="s">
        <v>60</v>
      </c>
      <c r="E78" s="25" t="s">
        <v>36</v>
      </c>
      <c r="F78" s="25" t="s">
        <v>139</v>
      </c>
      <c r="G78" s="46">
        <f>180.59*4%+180.59</f>
        <v>187.81360000000001</v>
      </c>
      <c r="H78" s="46">
        <f>214.14*4%+214.14</f>
        <v>222.70559999999998</v>
      </c>
      <c r="I78" s="46">
        <f>G78*14</f>
        <v>2629.3904000000002</v>
      </c>
      <c r="J78" s="26">
        <f>469.7*4%+469.7</f>
        <v>488.488</v>
      </c>
      <c r="K78" s="46">
        <f>H78*14</f>
        <v>3117.8783999999996</v>
      </c>
      <c r="L78" s="46">
        <f t="shared" ref="L78:N79" si="20">I78*26</f>
        <v>68364.150400000013</v>
      </c>
      <c r="M78" s="46">
        <f t="shared" si="20"/>
        <v>12700.688</v>
      </c>
      <c r="N78" s="46">
        <f t="shared" si="20"/>
        <v>81064.838399999993</v>
      </c>
      <c r="O78" s="46">
        <f>H78*10*30%*2</f>
        <v>1336.2335999999998</v>
      </c>
      <c r="P78" s="46">
        <f>H78*50</f>
        <v>11135.279999999999</v>
      </c>
      <c r="Q78" s="46">
        <f>N78+O78+P78</f>
        <v>93536.351999999999</v>
      </c>
      <c r="R78" s="47">
        <f>Q78*1</f>
        <v>93536.351999999999</v>
      </c>
    </row>
    <row r="79" spans="1:18" ht="64.5" x14ac:dyDescent="0.25">
      <c r="A79" s="38">
        <v>1</v>
      </c>
      <c r="B79" s="45" t="s">
        <v>140</v>
      </c>
      <c r="C79" s="38">
        <v>1</v>
      </c>
      <c r="D79" s="39" t="s">
        <v>60</v>
      </c>
      <c r="E79" s="25" t="s">
        <v>29</v>
      </c>
      <c r="F79" s="25" t="s">
        <v>141</v>
      </c>
      <c r="G79" s="46">
        <f>119.29*4%+119.29</f>
        <v>124.06160000000001</v>
      </c>
      <c r="H79" s="46">
        <f>152.84*4%+152.84</f>
        <v>158.95359999999999</v>
      </c>
      <c r="I79" s="46">
        <f>G79*14</f>
        <v>1736.8624000000002</v>
      </c>
      <c r="J79" s="26">
        <f>469.7*4%+469.7</f>
        <v>488.488</v>
      </c>
      <c r="K79" s="46">
        <f>H79*14</f>
        <v>2225.3503999999998</v>
      </c>
      <c r="L79" s="46">
        <f t="shared" si="20"/>
        <v>45158.422400000003</v>
      </c>
      <c r="M79" s="46">
        <f t="shared" si="20"/>
        <v>12700.688</v>
      </c>
      <c r="N79" s="46">
        <f t="shared" si="20"/>
        <v>57859.110399999998</v>
      </c>
      <c r="O79" s="46">
        <f>H79*10*30%*2</f>
        <v>953.72159999999997</v>
      </c>
      <c r="P79" s="46">
        <f>H79*50</f>
        <v>7947.6799999999994</v>
      </c>
      <c r="Q79" s="46">
        <f>N79+O79+P79</f>
        <v>66760.511999999988</v>
      </c>
      <c r="R79" s="47">
        <f>Q79*C79</f>
        <v>66760.511999999988</v>
      </c>
    </row>
    <row r="80" spans="1:18" x14ac:dyDescent="0.25">
      <c r="A80" s="52"/>
      <c r="B80" s="53"/>
      <c r="C80" s="52"/>
      <c r="D80" s="52"/>
      <c r="E80" s="25"/>
      <c r="F80" s="25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5"/>
    </row>
    <row r="81" spans="1:18" x14ac:dyDescent="0.25">
      <c r="A81" s="56"/>
      <c r="B81" s="57" t="s">
        <v>142</v>
      </c>
      <c r="C81" s="52">
        <f>SUM(C8:C79)</f>
        <v>72</v>
      </c>
      <c r="D81" s="52"/>
      <c r="E81" s="58"/>
      <c r="F81" s="58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>
        <f>R8+R9+R10+R11+R12+R15+R16+R17+R18+R19+R20+R21+R22+R23+R24+R27+R28+R37+R38+R42+R46+R54+R55+R58+R59+R62+R66+R69+R71+R78+R79+R80</f>
        <v>11123286.720000001</v>
      </c>
    </row>
  </sheetData>
  <mergeCells count="195">
    <mergeCell ref="P71:P77"/>
    <mergeCell ref="Q71:Q77"/>
    <mergeCell ref="R71:R77"/>
    <mergeCell ref="J71:J77"/>
    <mergeCell ref="K71:K77"/>
    <mergeCell ref="L71:L77"/>
    <mergeCell ref="M71:M77"/>
    <mergeCell ref="N71:N77"/>
    <mergeCell ref="O71:O77"/>
    <mergeCell ref="P69:P70"/>
    <mergeCell ref="Q69:Q70"/>
    <mergeCell ref="R69:R70"/>
    <mergeCell ref="A71:A77"/>
    <mergeCell ref="B71:B77"/>
    <mergeCell ref="C71:C77"/>
    <mergeCell ref="D71:D77"/>
    <mergeCell ref="G71:G77"/>
    <mergeCell ref="H71:H77"/>
    <mergeCell ref="I71:I77"/>
    <mergeCell ref="J69:J70"/>
    <mergeCell ref="K69:K70"/>
    <mergeCell ref="L69:L70"/>
    <mergeCell ref="M69:M70"/>
    <mergeCell ref="N69:N70"/>
    <mergeCell ref="O69:O70"/>
    <mergeCell ref="P66:P68"/>
    <mergeCell ref="Q66:Q68"/>
    <mergeCell ref="R66:R68"/>
    <mergeCell ref="A69:A70"/>
    <mergeCell ref="B69:B70"/>
    <mergeCell ref="C69:C70"/>
    <mergeCell ref="D69:D70"/>
    <mergeCell ref="G69:G70"/>
    <mergeCell ref="H69:H70"/>
    <mergeCell ref="I69:I70"/>
    <mergeCell ref="J66:J68"/>
    <mergeCell ref="K66:K68"/>
    <mergeCell ref="L66:L68"/>
    <mergeCell ref="M66:M68"/>
    <mergeCell ref="N66:N68"/>
    <mergeCell ref="O66:O68"/>
    <mergeCell ref="P62:P65"/>
    <mergeCell ref="Q62:Q65"/>
    <mergeCell ref="R62:R65"/>
    <mergeCell ref="A66:A68"/>
    <mergeCell ref="B66:B68"/>
    <mergeCell ref="C66:C68"/>
    <mergeCell ref="D66:D68"/>
    <mergeCell ref="G66:G68"/>
    <mergeCell ref="H66:H68"/>
    <mergeCell ref="I66:I68"/>
    <mergeCell ref="J62:J65"/>
    <mergeCell ref="K62:K65"/>
    <mergeCell ref="L62:L65"/>
    <mergeCell ref="M62:M65"/>
    <mergeCell ref="N62:N65"/>
    <mergeCell ref="O62:O65"/>
    <mergeCell ref="P59:P61"/>
    <mergeCell ref="Q59:Q61"/>
    <mergeCell ref="R59:R61"/>
    <mergeCell ref="A62:A65"/>
    <mergeCell ref="B62:B65"/>
    <mergeCell ref="C62:C65"/>
    <mergeCell ref="D62:D65"/>
    <mergeCell ref="G62:G65"/>
    <mergeCell ref="H62:H65"/>
    <mergeCell ref="I62:I65"/>
    <mergeCell ref="J59:J61"/>
    <mergeCell ref="K59:K61"/>
    <mergeCell ref="L59:L61"/>
    <mergeCell ref="M59:M61"/>
    <mergeCell ref="N59:N61"/>
    <mergeCell ref="O59:O61"/>
    <mergeCell ref="P55:P57"/>
    <mergeCell ref="Q55:Q57"/>
    <mergeCell ref="R55:R57"/>
    <mergeCell ref="A59:A61"/>
    <mergeCell ref="B59:B61"/>
    <mergeCell ref="C59:C61"/>
    <mergeCell ref="D59:D61"/>
    <mergeCell ref="G59:G61"/>
    <mergeCell ref="H59:H61"/>
    <mergeCell ref="I59:I61"/>
    <mergeCell ref="I55:I57"/>
    <mergeCell ref="K55:K57"/>
    <mergeCell ref="L55:L57"/>
    <mergeCell ref="M55:M57"/>
    <mergeCell ref="N55:N57"/>
    <mergeCell ref="O55:O57"/>
    <mergeCell ref="O46:O53"/>
    <mergeCell ref="P46:P53"/>
    <mergeCell ref="Q46:Q53"/>
    <mergeCell ref="R46:R53"/>
    <mergeCell ref="A55:A57"/>
    <mergeCell ref="B55:B57"/>
    <mergeCell ref="C55:C57"/>
    <mergeCell ref="D55:D57"/>
    <mergeCell ref="G55:G57"/>
    <mergeCell ref="H55:H57"/>
    <mergeCell ref="I46:I53"/>
    <mergeCell ref="J46:J53"/>
    <mergeCell ref="K46:K53"/>
    <mergeCell ref="L46:L53"/>
    <mergeCell ref="M46:M53"/>
    <mergeCell ref="N46:N53"/>
    <mergeCell ref="O42:O45"/>
    <mergeCell ref="P42:P45"/>
    <mergeCell ref="Q42:Q45"/>
    <mergeCell ref="R42:R45"/>
    <mergeCell ref="A46:A53"/>
    <mergeCell ref="B46:B53"/>
    <mergeCell ref="C46:C53"/>
    <mergeCell ref="D46:D53"/>
    <mergeCell ref="G46:G53"/>
    <mergeCell ref="H46:H53"/>
    <mergeCell ref="I42:I45"/>
    <mergeCell ref="J42:J45"/>
    <mergeCell ref="K42:K45"/>
    <mergeCell ref="L42:L45"/>
    <mergeCell ref="M42:M45"/>
    <mergeCell ref="N42:N45"/>
    <mergeCell ref="O38:O41"/>
    <mergeCell ref="P38:P41"/>
    <mergeCell ref="Q38:Q41"/>
    <mergeCell ref="R38:R41"/>
    <mergeCell ref="A42:A45"/>
    <mergeCell ref="B42:B45"/>
    <mergeCell ref="C42:C45"/>
    <mergeCell ref="D42:D45"/>
    <mergeCell ref="G42:G45"/>
    <mergeCell ref="H42:H45"/>
    <mergeCell ref="I38:I41"/>
    <mergeCell ref="J38:J41"/>
    <mergeCell ref="K38:K41"/>
    <mergeCell ref="L38:L41"/>
    <mergeCell ref="M38:M41"/>
    <mergeCell ref="N38:N41"/>
    <mergeCell ref="O28:O36"/>
    <mergeCell ref="P28:P36"/>
    <mergeCell ref="Q28:Q36"/>
    <mergeCell ref="R28:R36"/>
    <mergeCell ref="A38:A41"/>
    <mergeCell ref="B38:B41"/>
    <mergeCell ref="C38:C41"/>
    <mergeCell ref="D38:D41"/>
    <mergeCell ref="G38:G41"/>
    <mergeCell ref="H38:H41"/>
    <mergeCell ref="I28:I36"/>
    <mergeCell ref="J28:J36"/>
    <mergeCell ref="K28:K36"/>
    <mergeCell ref="L28:L36"/>
    <mergeCell ref="M28:M36"/>
    <mergeCell ref="N28:N36"/>
    <mergeCell ref="O24:O26"/>
    <mergeCell ref="P24:P26"/>
    <mergeCell ref="Q24:Q26"/>
    <mergeCell ref="R24:R26"/>
    <mergeCell ref="A28:A36"/>
    <mergeCell ref="B28:B36"/>
    <mergeCell ref="C28:C36"/>
    <mergeCell ref="D28:D36"/>
    <mergeCell ref="G28:G36"/>
    <mergeCell ref="H28:H36"/>
    <mergeCell ref="I24:I26"/>
    <mergeCell ref="J24:J26"/>
    <mergeCell ref="K24:K26"/>
    <mergeCell ref="L24:L26"/>
    <mergeCell ref="M24:M26"/>
    <mergeCell ref="N24:N26"/>
    <mergeCell ref="Q12:Q14"/>
    <mergeCell ref="R12:R14"/>
    <mergeCell ref="A20:A21"/>
    <mergeCell ref="B20:B21"/>
    <mergeCell ref="A24:A26"/>
    <mergeCell ref="B24:B26"/>
    <mergeCell ref="C24:C26"/>
    <mergeCell ref="D24:D26"/>
    <mergeCell ref="G24:G26"/>
    <mergeCell ref="H24:H26"/>
    <mergeCell ref="K12:K14"/>
    <mergeCell ref="L12:L14"/>
    <mergeCell ref="M12:M14"/>
    <mergeCell ref="N12:N14"/>
    <mergeCell ref="O12:O14"/>
    <mergeCell ref="P12:P14"/>
    <mergeCell ref="A2:R2"/>
    <mergeCell ref="A3:R3"/>
    <mergeCell ref="A12:A14"/>
    <mergeCell ref="B12:B14"/>
    <mergeCell ref="C12:C14"/>
    <mergeCell ref="D12:D14"/>
    <mergeCell ref="G12:G14"/>
    <mergeCell ref="H12:H14"/>
    <mergeCell ref="I12:I14"/>
    <mergeCell ref="J12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dcterms:created xsi:type="dcterms:W3CDTF">2025-03-21T17:57:56Z</dcterms:created>
  <dcterms:modified xsi:type="dcterms:W3CDTF">2025-03-21T18:00:23Z</dcterms:modified>
</cp:coreProperties>
</file>